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\Downloads\"/>
    </mc:Choice>
  </mc:AlternateContent>
  <xr:revisionPtr revIDLastSave="0" documentId="13_ncr:1_{B7292012-FC66-454A-8A69-48EDC6AC6CBA}" xr6:coauthVersionLast="47" xr6:coauthVersionMax="47" xr10:uidLastSave="{00000000-0000-0000-0000-000000000000}"/>
  <bookViews>
    <workbookView xWindow="3510" yWindow="3510" windowWidth="21885" windowHeight="20355" xr2:uid="{00000000-000D-0000-FFFF-FFFF00000000}"/>
  </bookViews>
  <sheets>
    <sheet name="report generated at 0716pm on 2" sheetId="1" r:id="rId1"/>
  </sheets>
  <calcPr calcId="191029"/>
</workbook>
</file>

<file path=xl/calcChain.xml><?xml version="1.0" encoding="utf-8"?>
<calcChain xmlns="http://schemas.openxmlformats.org/spreadsheetml/2006/main">
  <c r="B3233" i="1" l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A374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<sst xmlns="http://schemas.openxmlformats.org/spreadsheetml/2006/main" count="24647" uniqueCount="2619">
  <si>
    <t>Active Listings</t>
  </si>
  <si>
    <t>Address</t>
  </si>
  <si>
    <t>Building Name</t>
  </si>
  <si>
    <t>Neighborhood</t>
  </si>
  <si>
    <t>City</t>
  </si>
  <si>
    <t>Price (Last Known)</t>
  </si>
  <si>
    <t>PPSF</t>
  </si>
  <si>
    <t>R</t>
  </si>
  <si>
    <t>Bd</t>
  </si>
  <si>
    <t>Total Ba</t>
  </si>
  <si>
    <t>MLS Ba</t>
  </si>
  <si>
    <t>Full Ba</t>
  </si>
  <si>
    <t>HBa</t>
  </si>
  <si>
    <t>Sq Ft</t>
  </si>
  <si>
    <t>Monthly Fees</t>
  </si>
  <si>
    <t>Monthly Fees &amp; Taxes</t>
  </si>
  <si>
    <t>Taxes Per Mo.</t>
  </si>
  <si>
    <t>MLS Property Type</t>
  </si>
  <si>
    <t>MLS Property Subtype</t>
  </si>
  <si>
    <t>Compass Property Type</t>
  </si>
  <si>
    <t>Status</t>
  </si>
  <si>
    <t>DOM</t>
  </si>
  <si>
    <t>Updated Date</t>
  </si>
  <si>
    <t>Listed Date</t>
  </si>
  <si>
    <t>Listed Price</t>
  </si>
  <si>
    <t>Last Asking</t>
  </si>
  <si>
    <t>Contract Date</t>
  </si>
  <si>
    <t>Sold Price</t>
  </si>
  <si>
    <t>Closed Price Verification</t>
  </si>
  <si>
    <t>Sold Date</t>
  </si>
  <si>
    <t>Open House</t>
  </si>
  <si>
    <t>Open House Type</t>
  </si>
  <si>
    <t>ZIP</t>
  </si>
  <si>
    <t>Building Size</t>
  </si>
  <si>
    <t>Lot Size</t>
  </si>
  <si>
    <t>Outdoor Space</t>
  </si>
  <si>
    <t>Year Built</t>
  </si>
  <si>
    <t>Service Level</t>
  </si>
  <si>
    <t>Building Units</t>
  </si>
  <si>
    <t>Notes</t>
  </si>
  <si>
    <t>TriBeCa</t>
  </si>
  <si>
    <t>Manhattan</t>
  </si>
  <si>
    <t>Condo</t>
  </si>
  <si>
    <t>Private Exclusive</t>
  </si>
  <si>
    <t>Unknown</t>
  </si>
  <si>
    <t>Roof Deck
Common Roof Deck
Common Outdoor Space</t>
  </si>
  <si>
    <t>Concierge</t>
  </si>
  <si>
    <t>Upper West Side</t>
  </si>
  <si>
    <t>Active</t>
  </si>
  <si>
    <t>Balcony
Common Roof Deck
Common Outdoor Space</t>
  </si>
  <si>
    <t>Full-Time Doorman, Concierge</t>
  </si>
  <si>
    <t>Balcony
Private Terrace
Common Roof Deck
Common Outdoor Space</t>
  </si>
  <si>
    <t>Common Roof Deck
Common Outdoor Space</t>
  </si>
  <si>
    <t>Upper East Side</t>
  </si>
  <si>
    <t>Roof Deck
Common Roof Deck
Barbecue Area</t>
  </si>
  <si>
    <t>Full-Time Doorman</t>
  </si>
  <si>
    <t>Deck
Roof Deck
Common Roof Deck
Barbecue Area
Common Garden
Common Outdoor Space</t>
  </si>
  <si>
    <t>Hell's Kitchen</t>
  </si>
  <si>
    <t>Common Outdoor Space</t>
  </si>
  <si>
    <t>Full-Time Doorman, Part-Time Doorman</t>
  </si>
  <si>
    <t>Roof Deck</t>
  </si>
  <si>
    <t>Doorman</t>
  </si>
  <si>
    <t>Chelsea</t>
  </si>
  <si>
    <t>Aug 22, 2:00pm - 4:00pm - By Appt</t>
  </si>
  <si>
    <t>Public</t>
  </si>
  <si>
    <t>Private Terrace
Private Patio
Common Roof Deck</t>
  </si>
  <si>
    <t>Aug 22, 1:30pm - 2:30pm - By Appt</t>
  </si>
  <si>
    <t>Common Garden
Common Outdoor Space</t>
  </si>
  <si>
    <t>West Village</t>
  </si>
  <si>
    <t>Alcove</t>
  </si>
  <si>
    <t>New York</t>
  </si>
  <si>
    <t>Private Terrace</t>
  </si>
  <si>
    <t>Private Terrace
Private Roof Deck</t>
  </si>
  <si>
    <t>Common Roof Deck</t>
  </si>
  <si>
    <t>Balcony
Roof Deck
Common Roof Deck
Barbecue Area</t>
  </si>
  <si>
    <t>Common Garden</t>
  </si>
  <si>
    <t>Roof Deck
Common Roof Deck
Common Garden
Common Outdoor Space</t>
  </si>
  <si>
    <t>Studio</t>
  </si>
  <si>
    <t>Common Roof Deck
Common Garden
Common Outdoor Space</t>
  </si>
  <si>
    <t>Private Patio
Common Outdoor Space</t>
  </si>
  <si>
    <t>Private Terrace
Common Garden</t>
  </si>
  <si>
    <t>Doorman, Full-Time Doorman, Concierge</t>
  </si>
  <si>
    <t>East Harlem</t>
  </si>
  <si>
    <t>Aug 22, 6:00pm - 7:00pm</t>
  </si>
  <si>
    <t>Lower East Side</t>
  </si>
  <si>
    <t>Aug 22, 11:00am - 1:00pm - By Appt</t>
  </si>
  <si>
    <t>Common Garden
Common Outdoor Space
Private Outdoor Space</t>
  </si>
  <si>
    <t>Doorman, Full-Time Doorman</t>
  </si>
  <si>
    <t>East Village</t>
  </si>
  <si>
    <t>Deck
Common Roof Deck
Private Outdoor Space</t>
  </si>
  <si>
    <t>Private Terrace
Roof Deck
Common Roof Deck
Private Outdoor Space</t>
  </si>
  <si>
    <t>Remote Doorman</t>
  </si>
  <si>
    <t>NoHo</t>
  </si>
  <si>
    <t>Private Terrace
Common Outdoor Space
Private Outdoor Space</t>
  </si>
  <si>
    <t>Full-Time Doorman, Part-Time Doorman, Concierge</t>
  </si>
  <si>
    <t>NoMad</t>
  </si>
  <si>
    <t>Juliet Balcony
Private Outdoor Space</t>
  </si>
  <si>
    <t>Balcony
Deck
Common Roof Deck
Common Outdoor Space
Private Outdoor Space</t>
  </si>
  <si>
    <t>Private Terrace
Common Outdoor Space</t>
  </si>
  <si>
    <t>Deck
Common Roof Deck
Common Outdoor Space</t>
  </si>
  <si>
    <t>Balcony
Common Roof Deck
Common Outdoor Space
Private Outdoor Space</t>
  </si>
  <si>
    <t>Gramercy</t>
  </si>
  <si>
    <t>Private Terrace
Roof Deck
Common Outdoor Space</t>
  </si>
  <si>
    <t>Common Roof Deck
Common Outdoor Space
Private Outdoor Space</t>
  </si>
  <si>
    <t>Private Terrace
Private Roof Deck
Roof Deck
Common Roof Deck
Common Outdoor Space
Private Outdoor Space</t>
  </si>
  <si>
    <t>Private Terrace
Common Roof Deck
Common Garden
Common Outdoor Space
Private Outdoor Space</t>
  </si>
  <si>
    <t>Common Roof Deck
Common Garden
Common Outdoor Space
Private Outdoor Space</t>
  </si>
  <si>
    <t>Balcony
Private Terrace
Common Roof Deck
Common Garden
Common Outdoor Space
Private Outdoor Space</t>
  </si>
  <si>
    <t>Private Terrace
Roof Deck
Common Roof Deck
Common Outdoor Space
Private Outdoor Space</t>
  </si>
  <si>
    <t>Condop</t>
  </si>
  <si>
    <t>Aug 19, 5:00pm - 7:00pm
Aug 20, 12:00pm - 4:00pm</t>
  </si>
  <si>
    <t>Public
Public</t>
  </si>
  <si>
    <t>Juliet Balcony
Private Terrace
Common Garden
Common Outdoor Space</t>
  </si>
  <si>
    <t>Balcony
Private Terrace
Roof Deck
Common Roof Deck
Common Outdoor Space
Private Outdoor Space</t>
  </si>
  <si>
    <t>Private Terrace
Common Garden
Common Outdoor Space
Private Outdoor Space</t>
  </si>
  <si>
    <t>Private Terrace
Roof Deck
Common Roof Deck
Common Outdoor Space</t>
  </si>
  <si>
    <t>Aug 19, 5:00pm - 7:00pm
Aug 22, 12:00pm - 4:00pm</t>
  </si>
  <si>
    <t>Balcony
Juliet Balcony
Common Garden
Common Outdoor Space</t>
  </si>
  <si>
    <t>NoLita</t>
  </si>
  <si>
    <t>Aug 22, 12:00pm - 2:00pm - By Appt</t>
  </si>
  <si>
    <t>Private Terrace
Private Wrap Around Terrace
Deck
Roof Deck
Common Roof Deck
Common Garden
Common Outdoor Space
Private Outdoor Space</t>
  </si>
  <si>
    <t>Doorman, Concierge</t>
  </si>
  <si>
    <t>Private Roof Deck
Roof Deck
Common Roof Deck
Common Garden
Common Outdoor Space
Private Outdoor Space</t>
  </si>
  <si>
    <t>Private Terrace
Common Roof Deck
Common Outdoor Space
Private Outdoor Space</t>
  </si>
  <si>
    <t>Aug 22, 12:00pm - 1:30pm - By Appt</t>
  </si>
  <si>
    <t>Private Wrap Around Terrace
Common Roof Deck
Common Outdoor Space
Private Outdoor Space</t>
  </si>
  <si>
    <t>Private Wrap Around Terrace
Private Roof Deck
Common Roof Deck
Common Outdoor Space
Private Outdoor Space</t>
  </si>
  <si>
    <t>Balcony
Roof Deck
Common Roof Deck
Common Outdoor Space
Private Outdoor Space</t>
  </si>
  <si>
    <t>Balcony
Private Terrace
Private Outdoor Space</t>
  </si>
  <si>
    <t>Doorman, Full-Time Doorman, Part-Time Doorman, Concierge</t>
  </si>
  <si>
    <t>Balcony
Private Terrace
Private Roof Deck
Roof Deck
Common Roof Deck
Common Outdoor Space
Private Outdoor Space</t>
  </si>
  <si>
    <t>Harlem</t>
  </si>
  <si>
    <t>Private Terrace
Deck
Common Roof Deck</t>
  </si>
  <si>
    <t>Doorman, Part-Time Doorman, Concierge</t>
  </si>
  <si>
    <t>Balcony
Common Outdoor Space
Private Outdoor Space</t>
  </si>
  <si>
    <t>Little Italy</t>
  </si>
  <si>
    <t>Private Roof Deck
Deck
Roof Deck
Common Roof Deck
Common Outdoor Space
Private Outdoor Space</t>
  </si>
  <si>
    <t>Doorman, Full-Time Doorman, Part-Time Doorman</t>
  </si>
  <si>
    <t>Private Roof Deck
Roof Deck
Common Roof Deck
Private Outdoor Space</t>
  </si>
  <si>
    <t>Private Roof Deck
Common Roof Deck</t>
  </si>
  <si>
    <t>Part-Time Doorman</t>
  </si>
  <si>
    <t>Common Outdoor Space
Private Outdoor Space</t>
  </si>
  <si>
    <t>Balcony
Private Terrace
Private Roof Deck
Patio
Deck
Roof Deck
Common Roof Deck
Common Outdoor Space</t>
  </si>
  <si>
    <t>Condominium/Condo</t>
  </si>
  <si>
    <t>Private Roof Deck
Deck
Common Roof Deck
Private Outdoor Space</t>
  </si>
  <si>
    <t>Central Harlem</t>
  </si>
  <si>
    <t>Private Terrace
Private Patio
Common Outdoor Space
Private Outdoor Space</t>
  </si>
  <si>
    <t>Private Terrace
Private Roof Deck
Common Outdoor Space
Private Outdoor Space</t>
  </si>
  <si>
    <t>Balcony
Private Terrace
Common Outdoor Space
Private Outdoor Space</t>
  </si>
  <si>
    <t>Playground
Common Outdoor Space</t>
  </si>
  <si>
    <t>Balcony
Juliet Balcony
Private Outdoor Space</t>
  </si>
  <si>
    <t>Balcony
Deck
Roof Deck
Common Roof Deck
Barbecue Area
Common Outdoor Space</t>
  </si>
  <si>
    <t>Juliet Balcony</t>
  </si>
  <si>
    <t>Roof Deck
Common Roof Deck
Common Garden
Common Outdoor Space
Private Outdoor Space</t>
  </si>
  <si>
    <t>Deck
Roof Deck
Common Roof Deck
Common Garden
Common Outdoor Space</t>
  </si>
  <si>
    <t>Financial District</t>
  </si>
  <si>
    <t>Roof Deck
Common Roof Deck
Common Garden</t>
  </si>
  <si>
    <t>Private Terrace
Private Wrap Around Terrace
Common Outdoor Space
Private Outdoor Space</t>
  </si>
  <si>
    <t>Aug 21, 12:00pm - 2:00pm - By Appt
Aug 22, 12:00pm - 2:00pm</t>
  </si>
  <si>
    <t>Private Terrace
Deck
Common Roof Deck
Private Outdoor Space</t>
  </si>
  <si>
    <t>Manhattanville</t>
  </si>
  <si>
    <t>Aug 21, 11:00am - 1:00pm - By Appt
Aug 22, 11:00am - 1:00pm - By Appt</t>
  </si>
  <si>
    <t>Doorman, Full-Time Doorman, Remote Doorman</t>
  </si>
  <si>
    <t>Private Terrace
Common Roof Deck
Common Outdoor Space</t>
  </si>
  <si>
    <t>Washington Heights</t>
  </si>
  <si>
    <t>Murray Hill</t>
  </si>
  <si>
    <t>Roof Deck
Common Roof Deck</t>
  </si>
  <si>
    <t>Full-Time Doorman, Full-Service Building</t>
  </si>
  <si>
    <t>Deck
Roof Deck
Common Roof Deck
Barbecue Area
Common Garden
Common Outdoor Space
Private Outdoor Space</t>
  </si>
  <si>
    <t>Balcony
Private Terrace
Deck
Common Roof Deck</t>
  </si>
  <si>
    <t>Balcony
Private Roof Deck
Common Roof Deck
Common Outdoor Space
Private Outdoor Space</t>
  </si>
  <si>
    <t>Midtown East</t>
  </si>
  <si>
    <t>Private Terrace
Private Wrap Around Terrace
Common Outdoor Space</t>
  </si>
  <si>
    <t>Private Wrap Around Terrace
Common Outdoor Space</t>
  </si>
  <si>
    <t>Private Wrap Around Terrace
Common Outdoor Space
Private Outdoor Space</t>
  </si>
  <si>
    <t>Aug 22, 12:00pm - 4:00pm - By Appt
Aug 29, 12:00pm - 4:00pm - By Appt
Sep 5, 12:00pm - 4:00pm - By Appt
Sep 12, 12:00pm - 4:00pm - By Appt</t>
  </si>
  <si>
    <t>Public
Public
Public
Public</t>
  </si>
  <si>
    <t>Deck
Roof Deck
Common Roof Deck
Common Outdoor Space</t>
  </si>
  <si>
    <t>Doorman, Part-Time Doorman</t>
  </si>
  <si>
    <t>Private Terrace
Deck
Roof Deck
Common Roof Deck
Barbecue Area
Common Outdoor Space
Private Outdoor Space</t>
  </si>
  <si>
    <t>Balcony
Juliet Balcony
Common Outdoor Space</t>
  </si>
  <si>
    <t>Juliet Balcony
Common Outdoor Space</t>
  </si>
  <si>
    <t>Juliet Balcony
Patio
Common Garden
Common Outdoor Space</t>
  </si>
  <si>
    <t>Balcony
Juliet Balcony
Patio
Common Garden
Common Outdoor Space</t>
  </si>
  <si>
    <t>Balcony
Juliet Balcony
Common Outdoor Space
Private Outdoor Space</t>
  </si>
  <si>
    <t>Balcony
Juliet Balcony
Private Terrace
Common Outdoor Space
Private Outdoor Space</t>
  </si>
  <si>
    <t>Juliet Balcony
Private Terrace
Common Outdoor Space
Private Outdoor Space</t>
  </si>
  <si>
    <t>Contract Listings</t>
  </si>
  <si>
    <t>Contract Signed</t>
  </si>
  <si>
    <t>Private Terrace
Common Garden
Common Outdoor Space</t>
  </si>
  <si>
    <t>Private Terrace
Private Wrap Around Terrace
Common Roof Deck
Common Garden
Common Outdoor Space</t>
  </si>
  <si>
    <t>Co-op</t>
  </si>
  <si>
    <t>Private Terrace
Roof Deck
Common Roof Deck
Common Garden
Common Outdoor Space
Private Outdoor Space</t>
  </si>
  <si>
    <t>Private Terrace
Private Outdoor Space</t>
  </si>
  <si>
    <t>Common Outdoor Space
Private Outdoor Space
Back Yard</t>
  </si>
  <si>
    <t>Condominium</t>
  </si>
  <si>
    <t>Private Terrace
Deck
Roof Deck
Common Roof Deck
Common Garden
Common Outdoor Space
Private Outdoor Space</t>
  </si>
  <si>
    <t>Private Terrace
Deck
Common Roof Deck
Common Outdoor Space</t>
  </si>
  <si>
    <t>Balcony
Deck
Common Roof Deck
Common Outdoor Space</t>
  </si>
  <si>
    <t>Balcony
Private Terrace
Deck
Common Roof Deck
Common Outdoor Space
Private Outdoor Space</t>
  </si>
  <si>
    <t>Balcony
Private Terrace
Deck
Common Roof Deck
Common Outdoor Space</t>
  </si>
  <si>
    <t>Sold Listings</t>
  </si>
  <si>
    <t>533 W 52nd St</t>
  </si>
  <si>
    <t>Sold</t>
  </si>
  <si>
    <t>Unverified</t>
  </si>
  <si>
    <t>&lt;a href="http://a836-acris.nyc.gov/DS/DocumentSearch/DocumentDetail?doc_id=2019090900661002" target="_blank"&gt;Verified by Public Record&lt;/a&gt;</t>
  </si>
  <si>
    <t>&lt;a href="http://a836-acris.nyc.gov/DS/DocumentSearch/DocumentDetail?doc_id=2020071400220001" target="_blank"&gt;Verified by Public Record&lt;/a&gt;</t>
  </si>
  <si>
    <t>&lt;a href="http://a836-acris.nyc.gov/DS/DocumentSearch/DocumentDetail?doc_id=2020051100777001" target="_blank"&gt;Verified by Public Record&lt;/a&gt;</t>
  </si>
  <si>
    <t>&lt;a href="http://a836-acris.nyc.gov/DS/DocumentSearch/DocumentDetail?doc_id=2019051700617001" target="_blank"&gt;Verified by Public Record&lt;/a&gt;</t>
  </si>
  <si>
    <t>&lt;a href="http://a836-acris.nyc.gov/DS/DocumentSearch/DocumentDetail?doc_id=2019080600237001" target="_blank"&gt;Verified by Public Record&lt;/a&gt;</t>
  </si>
  <si>
    <t>&lt;a href="http://a836-acris.nyc.gov/DS/DocumentSearch/DocumentDetail?doc_id=2021060400015003" target="_blank"&gt;Verified by Public Record&lt;/a&gt;</t>
  </si>
  <si>
    <t>&lt;a href="http://a836-acris.nyc.gov/DS/DocumentSearch/DocumentDetail?doc_id=2018102200028001" target="_blank"&gt;Verified by Public Record&lt;/a&gt;</t>
  </si>
  <si>
    <t>&lt;a href="http://a836-acris.nyc.gov/DS/DocumentSearch/DocumentDetail?doc_id=2020052100439001" target="_blank"&gt;Verified by Public Record&lt;/a&gt;</t>
  </si>
  <si>
    <t>&lt;a href="http://a836-acris.nyc.gov/DS/DocumentSearch/DocumentDetail?doc_id=2021042601364001" target="_blank"&gt;Verified by Public Record&lt;/a&gt;</t>
  </si>
  <si>
    <t>&lt;a href="http://a836-acris.nyc.gov/DS/DocumentSearch/DocumentDetail?doc_id=2019030300078002" target="_blank"&gt;Verified by Public Record&lt;/a&gt;</t>
  </si>
  <si>
    <t>Verified by Compass</t>
  </si>
  <si>
    <t>&lt;a href="http://a836-acris.nyc.gov/DS/DocumentSearch/DocumentDetail?doc_id=2019051000014001" target="_blank"&gt;Verified by Public Record&lt;/a&gt;</t>
  </si>
  <si>
    <t>&lt;a href="http://a836-acris.nyc.gov/DS/DocumentSearch/DocumentDetail?doc_id=2018122600867003" target="_blank"&gt;Verified by Public Record&lt;/a&gt;</t>
  </si>
  <si>
    <t>&lt;a href="http://a836-acris.nyc.gov/DS/DocumentSearch/DocumentDetail?doc_id=2018012600450002" target="_blank"&gt;Verified by Public Record&lt;/a&gt;</t>
  </si>
  <si>
    <t>&lt;a href="http://a836-acris.nyc.gov/DS/DocumentSearch/DocumentDetail?doc_id=2018080700832001" target="_blank"&gt;Verified by Public Record&lt;/a&gt;</t>
  </si>
  <si>
    <t>&lt;a href="http://a836-acris.nyc.gov/DS/DocumentSearch/DocumentDetail?doc_id=2021022600690001" target="_blank"&gt;Verified by Public Record&lt;/a&gt;</t>
  </si>
  <si>
    <t>Common Roof Deck
Barbecue Area
Common Outdoor Space</t>
  </si>
  <si>
    <t>&lt;a href="http://a836-acris.nyc.gov/DS/DocumentSearch/DocumentDetail?doc_id=2021040800868004" target="_blank"&gt;Verified by Public Record&lt;/a&gt;</t>
  </si>
  <si>
    <t>&lt;a href="http://a836-acris.nyc.gov/DS/DocumentSearch/DocumentDetail?doc_id=2021020501281001" target="_blank"&gt;Verified by Public Record&lt;/a&gt;</t>
  </si>
  <si>
    <t>&lt;a href="http://a836-acris.nyc.gov/DS/DocumentSearch/DocumentDetail?doc_id=2018013101113001" target="_blank"&gt;Verified by Public Record&lt;/a&gt;</t>
  </si>
  <si>
    <t>&lt;a href="http://a836-acris.nyc.gov/DS/DocumentSearch/DocumentDetail?doc_id=2021051000899002" target="_blank"&gt;Verified by Public Record&lt;/a&gt;</t>
  </si>
  <si>
    <t>Private Terrace
Private Patio
Common Roof Deck
Barbecue Area
Common Outdoor Space</t>
  </si>
  <si>
    <t>&lt;a href="http://a836-acris.nyc.gov/DS/DocumentSearch/DocumentDetail?doc_id=2019040201158002" target="_blank"&gt;Verified by Public Record&lt;/a&gt;</t>
  </si>
  <si>
    <t>&lt;a href="http://a836-acris.nyc.gov/DS/DocumentSearch/DocumentDetail?doc_id=2020112501432002" target="_blank"&gt;Verified by Public Record&lt;/a&gt;</t>
  </si>
  <si>
    <t>&lt;a href="http://a836-acris.nyc.gov/DS/DocumentSearch/DocumentDetail?doc_id=2020033000770002" target="_blank"&gt;Verified by Public Record&lt;/a&gt;</t>
  </si>
  <si>
    <t>&lt;a href="http://a836-acris.nyc.gov/DS/DocumentSearch/DocumentDetail?doc_id=2021080300933001" target="_blank"&gt;Verified by Public Record&lt;/a&gt;</t>
  </si>
  <si>
    <t>&lt;a href="http://a836-acris.nyc.gov/DS/DocumentSearch/DocumentDetail?doc_id=2020072101009001" target="_blank"&gt;Verified by Public Record&lt;/a&gt;</t>
  </si>
  <si>
    <t>&lt;a href="http://a836-acris.nyc.gov/DS/DocumentSearch/DocumentDetail?doc_id=2021032601115001" target="_blank"&gt;Verified by Public Record&lt;/a&gt;</t>
  </si>
  <si>
    <t>&lt;a href="http://a836-acris.nyc.gov/DS/DocumentSearch/DocumentDetail?doc_id=2019100300119002" target="_blank"&gt;Verified by Public Record&lt;/a&gt;</t>
  </si>
  <si>
    <t>&lt;a href="http://a836-acris.nyc.gov/DS/DocumentSearch/DocumentDetail?doc_id=2020062600661001" target="_blank"&gt;Verified by Public Record&lt;/a&gt;</t>
  </si>
  <si>
    <t>&lt;a href="http://a836-acris.nyc.gov/DS/DocumentSearch/DocumentDetail?doc_id=2020073100302001" target="_blank"&gt;Verified by Public Record&lt;/a&gt;</t>
  </si>
  <si>
    <t>&lt;a href="http://a836-acris.nyc.gov/DS/DocumentSearch/DocumentDetail?doc_id=2020121001116001" target="_blank"&gt;Verified by Public Record&lt;/a&gt;</t>
  </si>
  <si>
    <t>Private Roof Deck</t>
  </si>
  <si>
    <t>&lt;a href="http://a836-acris.nyc.gov/DS/DocumentSearch/DocumentDetail?doc_id=2020102100620001" target="_blank"&gt;Verified by Public Record&lt;/a&gt;</t>
  </si>
  <si>
    <t>&lt;a href="http://a836-acris.nyc.gov/DS/DocumentSearch/DocumentDetail?doc_id=2020111001042001" target="_blank"&gt;Verified by Public Record&lt;/a&gt;</t>
  </si>
  <si>
    <t>&lt;a href="http://a836-acris.nyc.gov/DS/DocumentSearch/DocumentDetail?doc_id=2020122900034001" target="_blank"&gt;Verified by Public Record&lt;/a&gt;</t>
  </si>
  <si>
    <t>&lt;a href="http://a836-acris.nyc.gov/DS/DocumentSearch/DocumentDetail?doc_id=2019121800847001" target="_blank"&gt;Verified by Public Record&lt;/a&gt;</t>
  </si>
  <si>
    <t>&lt;a href="http://a836-acris.nyc.gov/DS/DocumentSearch/DocumentDetail?doc_id=2020022100319001" target="_blank"&gt;Verified by Public Record&lt;/a&gt;</t>
  </si>
  <si>
    <t>&lt;a href="http://a836-acris.nyc.gov/DS/DocumentSearch/DocumentDetail?doc_id=2020032500168001" target="_blank"&gt;Verified by Public Record&lt;/a&gt;</t>
  </si>
  <si>
    <t>&lt;a href="http://a836-acris.nyc.gov/DS/DocumentSearch/DocumentDetail?doc_id=2020010201222001" target="_blank"&gt;Verified by Public Record&lt;/a&gt;</t>
  </si>
  <si>
    <t>&lt;a href="http://a836-acris.nyc.gov/DS/DocumentSearch/DocumentDetail?doc_id=2020021900157001" target="_blank"&gt;Verified by Public Record&lt;/a&gt;</t>
  </si>
  <si>
    <t>&lt;a href="http://a836-acris.nyc.gov/DS/DocumentSearch/DocumentDetail?doc_id=2020111700601002" target="_blank"&gt;Verified by Public Record&lt;/a&gt;</t>
  </si>
  <si>
    <t>&lt;a href="http://a836-acris.nyc.gov/DS/DocumentSearch/DocumentDetail?doc_id=2020122801342001" target="_blank"&gt;Verified by Public Record&lt;/a&gt;</t>
  </si>
  <si>
    <t>&lt;a href="http://a836-acris.nyc.gov/DS/DocumentSearch/DocumentDetail?doc_id=2020110400330004" target="_blank"&gt;Verified by Public Record&lt;/a&gt;</t>
  </si>
  <si>
    <t>&lt;a href="http://a836-acris.nyc.gov/DS/DocumentSearch/DocumentDetail?doc_id=2020122801153001" target="_blank"&gt;Verified by Public Record&lt;/a&gt;</t>
  </si>
  <si>
    <t>&lt;a href="http://a836-acris.nyc.gov/DS/DocumentSearch/DocumentDetail?doc_id=2020072500074001" target="_blank"&gt;Verified by Public Record&lt;/a&gt;</t>
  </si>
  <si>
    <t>&lt;a href="http://a836-acris.nyc.gov/DS/DocumentSearch/DocumentDetail?doc_id=2020111300652001" target="_blank"&gt;Verified by Public Record&lt;/a&gt;</t>
  </si>
  <si>
    <t>&lt;a href="http://a836-acris.nyc.gov/DS/DocumentSearch/DocumentDetail?doc_id=2020122300301001" target="_blank"&gt;Verified by Public Record&lt;/a&gt;</t>
  </si>
  <si>
    <t>&lt;a href="http://a836-acris.nyc.gov/DS/DocumentSearch/DocumentDetail?doc_id=2020122900615001" target="_blank"&gt;Verified by Public Record&lt;/a&gt;</t>
  </si>
  <si>
    <t>&lt;a href="http://a836-acris.nyc.gov/DS/DocumentSearch/DocumentDetail?doc_id=2021061401156001" target="_blank"&gt;Verified by Public Record&lt;/a&gt;</t>
  </si>
  <si>
    <t>&lt;a href="http://a836-acris.nyc.gov/DS/DocumentSearch/DocumentDetail?doc_id=2020122300697001" target="_blank"&gt;Verified by Public Record&lt;/a&gt;</t>
  </si>
  <si>
    <t>&lt;a href="http://a836-acris.nyc.gov/DS/DocumentSearch/DocumentDetail?doc_id=2021080901228001" target="_blank"&gt;Verified by Public Record&lt;/a&gt;</t>
  </si>
  <si>
    <t>&lt;a href="http://a836-acris.nyc.gov/DS/DocumentSearch/DocumentDetail?doc_id=2021070801104001" target="_blank"&gt;Verified by Public Record&lt;/a&gt;</t>
  </si>
  <si>
    <t>&lt;a href="http://a836-acris.nyc.gov/DS/DocumentSearch/DocumentDetail?doc_id=2020122300350001" target="_blank"&gt;Verified by Public Record&lt;/a&gt;</t>
  </si>
  <si>
    <t>Balcony
Roof Deck
Common Roof Deck
Barbecue Area
Common Outdoor Space</t>
  </si>
  <si>
    <t>&lt;a href="http://a836-acris.nyc.gov/DS/DocumentSearch/DocumentDetail?doc_id=2020012101397001" target="_blank"&gt;Verified by Public Record&lt;/a&gt;</t>
  </si>
  <si>
    <t>Roof Deck
Common Roof Deck
Barbecue Area
Common Outdoor Space</t>
  </si>
  <si>
    <t>&lt;a href="http://a836-acris.nyc.gov/DS/DocumentSearch/DocumentDetail?doc_id=2020060300453003" target="_blank"&gt;Verified by Public Record&lt;/a&gt;</t>
  </si>
  <si>
    <t>&lt;a href="http://a836-acris.nyc.gov/DS/DocumentSearch/DocumentDetail?doc_id=2021071300772001" target="_blank"&gt;Verified by Public Record&lt;/a&gt;</t>
  </si>
  <si>
    <t>&lt;a href="http://a836-acris.nyc.gov/DS/DocumentSearch/DocumentDetail?doc_id=2020050700693002" target="_blank"&gt;Verified by Public Record&lt;/a&gt;</t>
  </si>
  <si>
    <t>&lt;a href="http://a836-acris.nyc.gov/DS/DocumentSearch/DocumentDetail?doc_id=2019102300251001" target="_blank"&gt;Verified by Public Record&lt;/a&gt;</t>
  </si>
  <si>
    <t>&lt;a href="http://a836-acris.nyc.gov/DS/DocumentSearch/DocumentDetail?doc_id=2020042900520001" target="_blank"&gt;Verified by Public Record&lt;/a&gt;</t>
  </si>
  <si>
    <t>&lt;a href="http://a836-acris.nyc.gov/DS/DocumentSearch/DocumentDetail?doc_id=2021060801752001" target="_blank"&gt;Verified by Public Record&lt;/a&gt;</t>
  </si>
  <si>
    <t>&lt;a href="http://a836-acris.nyc.gov/DS/DocumentSearch/DocumentDetail?doc_id=2021062901221001" target="_blank"&gt;Verified by Public Record&lt;/a&gt;</t>
  </si>
  <si>
    <t>&lt;a href="http://a836-acris.nyc.gov/DS/DocumentSearch/DocumentDetail?doc_id=2020052600466001" target="_blank"&gt;Verified by Public Record&lt;/a&gt;</t>
  </si>
  <si>
    <t>&lt;a href="http://a836-acris.nyc.gov/DS/DocumentSearch/DocumentDetail?doc_id=2020041500617001" target="_blank"&gt;Verified by Public Record&lt;/a&gt;</t>
  </si>
  <si>
    <t>Private Yard
Common Roof Deck
Common Outdoor Space</t>
  </si>
  <si>
    <t>&lt;a href="http://a836-acris.nyc.gov/DS/DocumentSearch/DocumentDetail?doc_id=2019122600421001" target="_blank"&gt;Verified by Public Record&lt;/a&gt;</t>
  </si>
  <si>
    <t>&lt;a href="http://a836-acris.nyc.gov/DS/DocumentSearch/DocumentDetail?doc_id=2021030100019003" target="_blank"&gt;Verified by Public Record&lt;/a&gt;</t>
  </si>
  <si>
    <t>&lt;a href="http://a836-acris.nyc.gov/DS/DocumentSearch/DocumentDetail?doc_id=2020012000337001" target="_blank"&gt;Verified by Public Record&lt;/a&gt;</t>
  </si>
  <si>
    <t>&lt;a href="http://a836-acris.nyc.gov/DS/DocumentSearch/DocumentDetail?doc_id=2020100100057001" target="_blank"&gt;Verified by Public Record&lt;/a&gt;</t>
  </si>
  <si>
    <t>&lt;a href="http://a836-acris.nyc.gov/DS/DocumentSearch/DocumentDetail?doc_id=2021033000423001" target="_blank"&gt;Verified by Public Record&lt;/a&gt;</t>
  </si>
  <si>
    <t>&lt;a href="http://a836-acris.nyc.gov/DS/DocumentSearch/DocumentDetail?doc_id=2021062901007001" target="_blank"&gt;Verified by Public Record&lt;/a&gt;</t>
  </si>
  <si>
    <t>&lt;a href="http://a836-acris.nyc.gov/DS/DocumentSearch/DocumentDetail?doc_id=2020030200610001" target="_blank"&gt;Verified by Public Record&lt;/a&gt;</t>
  </si>
  <si>
    <t>&lt;a href="http://a836-acris.nyc.gov/DS/DocumentSearch/DocumentDetail?doc_id=2021052900091002" target="_blank"&gt;Verified by Public Record&lt;/a&gt;</t>
  </si>
  <si>
    <t>&lt;a href="http://a836-acris.nyc.gov/DS/DocumentSearch/DocumentDetail?doc_id=2020012400622003" target="_blank"&gt;Verified by Public Record&lt;/a&gt;</t>
  </si>
  <si>
    <t>Private Terrace
Roof Deck
Common Roof Deck
Barbecue Area
Common Outdoor Space
Back Yard</t>
  </si>
  <si>
    <t>Private Roof Deck
Roof Deck
Common Roof Deck
Barbecue Area</t>
  </si>
  <si>
    <t>&lt;a href="http://a836-acris.nyc.gov/DS/DocumentSearch/DocumentDetail?doc_id=2020110700111001" target="_blank"&gt;Verified by Public Record&lt;/a&gt;</t>
  </si>
  <si>
    <t>Private Terrace
Roof Deck
Common Roof Deck
Barbecue Area
Common Outdoor Space</t>
  </si>
  <si>
    <t>&lt;a href="http://a836-acris.nyc.gov/DS/DocumentSearch/DocumentDetail?doc_id=2019082201005001" target="_blank"&gt;Verified by Public Record&lt;/a&gt;</t>
  </si>
  <si>
    <t>&lt;a href="http://a836-acris.nyc.gov/DS/DocumentSearch/DocumentDetail?doc_id=2020060600071001" target="_blank"&gt;Verified by Public Record&lt;/a&gt;</t>
  </si>
  <si>
    <t>Balcony
Juliet Balcony
Private Roof Deck
Common Roof Deck</t>
  </si>
  <si>
    <t>Roof Deck
Common Roof Deck
Barbecue Area
Common Garden
Common Outdoor Space</t>
  </si>
  <si>
    <t>Balcony
Roof Deck
Common Roof Deck
Common Garden
Common Outdoor Space</t>
  </si>
  <si>
    <t>&lt;a href="http://a836-acris.nyc.gov/DS/DocumentSearch/DocumentDetail?doc_id=2020072001043002" target="_blank"&gt;Verified by Public Record&lt;/a&gt;</t>
  </si>
  <si>
    <t>&lt;a href="http://a836-acris.nyc.gov/DS/DocumentSearch/DocumentDetail?doc_id=2020042800003002" target="_blank"&gt;Verified by Public Record&lt;/a&gt;</t>
  </si>
  <si>
    <t>&lt;a href="http://a836-acris.nyc.gov/DS/DocumentSearch/DocumentDetail?doc_id=2020030900406001" target="_blank"&gt;Verified by Public Record&lt;/a&gt;</t>
  </si>
  <si>
    <t>&lt;a href="http://a836-acris.nyc.gov/DS/DocumentSearch/DocumentDetail?doc_id=2020041300657002" target="_blank"&gt;Verified by Public Record&lt;/a&gt;</t>
  </si>
  <si>
    <t>&lt;a href="http://a836-acris.nyc.gov/DS/DocumentSearch/DocumentDetail?doc_id=2020012500039001" target="_blank"&gt;Verified by Public Record&lt;/a&gt;</t>
  </si>
  <si>
    <t>&lt;a href="http://a836-acris.nyc.gov/DS/DocumentSearch/DocumentDetail?doc_id=2021033100880001" target="_blank"&gt;Verified by Public Record&lt;/a&gt;</t>
  </si>
  <si>
    <t>&lt;a href="http://a836-acris.nyc.gov/DS/DocumentSearch/DocumentDetail?doc_id=2021051900939003" target="_blank"&gt;Verified by Public Record&lt;/a&gt;</t>
  </si>
  <si>
    <t>&lt;a href="http://a836-acris.nyc.gov/DS/DocumentSearch/DocumentDetail?doc_id=2021071501102001" target="_blank"&gt;Verified by Public Record&lt;/a&gt;</t>
  </si>
  <si>
    <t>&lt;a href="http://a836-acris.nyc.gov/DS/DocumentSearch/DocumentDetail?doc_id=2020042400562006" target="_blank"&gt;Verified by Public Record&lt;/a&gt;</t>
  </si>
  <si>
    <t>Private Terrace
Roof Deck
Common Roof Deck
Barbecue Area</t>
  </si>
  <si>
    <t>&lt;a href="http://a836-acris.nyc.gov/DS/DocumentSearch/DocumentDetail?doc_id=2021041900699001" target="_blank"&gt;Verified by Public Record&lt;/a&gt;</t>
  </si>
  <si>
    <t>&lt;a href="http://a836-acris.nyc.gov/DS/DocumentSearch/DocumentDetail?doc_id=2020111600449008" target="_blank"&gt;Verified by Public Record&lt;/a&gt;</t>
  </si>
  <si>
    <t>&lt;a href="http://a836-acris.nyc.gov/DS/DocumentSearch/DocumentDetail?doc_id=2021050300947002" target="_blank"&gt;Verified by Public Record&lt;/a&gt;</t>
  </si>
  <si>
    <t>&lt;a href="http://a836-acris.nyc.gov/DS/DocumentSearch/DocumentDetail?doc_id=2020070700448001" target="_blank"&gt;Verified by Public Record&lt;/a&gt;</t>
  </si>
  <si>
    <t>&lt;a href="http://a836-acris.nyc.gov/DS/DocumentSearch/DocumentDetail?doc_id=2019080700442001" target="_blank"&gt;Verified by Public Record&lt;/a&gt;</t>
  </si>
  <si>
    <t>&lt;a href="http://a836-acris.nyc.gov/DS/DocumentSearch/DocumentDetail?doc_id=2019080400025001" target="_blank"&gt;Verified by Public Record&lt;/a&gt;</t>
  </si>
  <si>
    <t>&lt;a href="http://a836-acris.nyc.gov/DS/DocumentSearch/DocumentDetail?doc_id=2019080200857001" target="_blank"&gt;Verified by Public Record&lt;/a&gt;</t>
  </si>
  <si>
    <t>&lt;a href="http://a836-acris.nyc.gov/DS/DocumentSearch/DocumentDetail?doc_id=2019081300743003" target="_blank"&gt;Verified by Public Record&lt;/a&gt;</t>
  </si>
  <si>
    <t>&lt;a href="http://a836-acris.nyc.gov/DS/DocumentSearch/DocumentDetail?doc_id=2019083000033006" target="_blank"&gt;Verified by Public Record&lt;/a&gt;</t>
  </si>
  <si>
    <t>&lt;a href="http://a836-acris.nyc.gov/DS/DocumentSearch/DocumentDetail?doc_id=2021060401132001" target="_blank"&gt;Verified by Public Record&lt;/a&gt;</t>
  </si>
  <si>
    <t>&lt;a href="http://a836-acris.nyc.gov/DS/DocumentSearch/DocumentDetail?doc_id=2020122900269001" target="_blank"&gt;Verified by Public Record&lt;/a&gt;</t>
  </si>
  <si>
    <t>&lt;a href="http://a836-acris.nyc.gov/DS/DocumentSearch/DocumentDetail?doc_id=2020122300141001" target="_blank"&gt;Verified by Public Record&lt;/a&gt;</t>
  </si>
  <si>
    <t>&lt;a href="http://a836-acris.nyc.gov/DS/DocumentSearch/DocumentDetail?doc_id=2019032200452001" target="_blank"&gt;Verified by Public Record&lt;/a&gt;</t>
  </si>
  <si>
    <t>&lt;a href="http://a836-acris.nyc.gov/DS/DocumentSearch/DocumentDetail?doc_id=2016061601751001" target="_blank"&gt;Verified by Public Record&lt;/a&gt;</t>
  </si>
  <si>
    <t>&lt;a href="http://a836-acris.nyc.gov/DS/DocumentSearch/DocumentDetail?doc_id=2016081801280001" target="_blank"&gt;Verified by Public Record&lt;/a&gt;</t>
  </si>
  <si>
    <t>Deck
Common Roof Deck</t>
  </si>
  <si>
    <t>&lt;a href="http://a836-acris.nyc.gov/DS/DocumentSearch/DocumentDetail?doc_id=2016080300676001" target="_blank"&gt;Verified by Public Record&lt;/a&gt;</t>
  </si>
  <si>
    <t>&lt;a href="http://a836-acris.nyc.gov/DS/DocumentSearch/DocumentDetail?doc_id=2016051700590001" target="_blank"&gt;Verified by Public Record&lt;/a&gt;</t>
  </si>
  <si>
    <t>&lt;a href="http://a836-acris.nyc.gov/DS/DocumentSearch/DocumentDetail?doc_id=2019040400831002" target="_blank"&gt;Verified by Public Record&lt;/a&gt;</t>
  </si>
  <si>
    <t>&lt;a href="http://a836-acris.nyc.gov/DS/DocumentSearch/DocumentDetail?doc_id=2016071401411004" target="_blank"&gt;Verified by Public Record&lt;/a&gt;</t>
  </si>
  <si>
    <t>Common Roof Deck
Private Outdoor Space</t>
  </si>
  <si>
    <t>&lt;a href="http://a836-acris.nyc.gov/DS/DocumentSearch/DocumentDetail?doc_id=2016050900738002" target="_blank"&gt;Verified by Public Record&lt;/a&gt;</t>
  </si>
  <si>
    <t>&lt;a href="http://a836-acris.nyc.gov/DS/DocumentSearch/DocumentDetail?doc_id=2019092600149002" target="_blank"&gt;Verified by Public Record&lt;/a&gt;</t>
  </si>
  <si>
    <t>Balcony
Common Roof Deck</t>
  </si>
  <si>
    <t>&lt;a href="http://a836-acris.nyc.gov/DS/DocumentSearch/DocumentDetail?doc_id=2016090800946001" target="_blank"&gt;Verified by Public Record&lt;/a&gt;</t>
  </si>
  <si>
    <t>&lt;a href="http://a836-acris.nyc.gov/DS/DocumentSearch/DocumentDetail?doc_id=2016080300946001" target="_blank"&gt;Verified by Public Record&lt;/a&gt;</t>
  </si>
  <si>
    <t>&lt;a href="http://a836-acris.nyc.gov/DS/DocumentSearch/DocumentDetail?doc_id=2016091401454002" target="_blank"&gt;Verified by Public Record&lt;/a&gt;</t>
  </si>
  <si>
    <t>&lt;a href="http://a836-acris.nyc.gov/DS/DocumentSearch/DocumentDetail?doc_id=2021073000601001" target="_blank"&gt;Verified by Public Record&lt;/a&gt;</t>
  </si>
  <si>
    <t>Balcony
Private Roof Deck
Deck
Common Roof Deck
Private Outdoor Space</t>
  </si>
  <si>
    <t>&lt;a href="http://a836-acris.nyc.gov/DS/DocumentSearch/DocumentDetail?doc_id=2016091301273001" target="_blank"&gt;Verified by Public Record&lt;/a&gt;</t>
  </si>
  <si>
    <t>Private Terrace
Private Roof Deck
Deck
Common Roof Deck</t>
  </si>
  <si>
    <t>&lt;a href="http://a836-acris.nyc.gov/DS/DocumentSearch/DocumentDetail?doc_id=2016010800199001" target="_blank"&gt;Verified by Public Record&lt;/a&gt;</t>
  </si>
  <si>
    <t>&lt;a href="http://a836-acris.nyc.gov/DS/DocumentSearch/DocumentDetail?doc_id=2019030601062003" target="_blank"&gt;Verified by Public Record&lt;/a&gt;</t>
  </si>
  <si>
    <t>&lt;a href="http://a836-acris.nyc.gov/DS/DocumentSearch/DocumentDetail?doc_id=2018080901103001" target="_blank"&gt;Verified by Public Record&lt;/a&gt;</t>
  </si>
  <si>
    <t>&lt;a href="http://a836-acris.nyc.gov/DS/DocumentSearch/DocumentDetail?doc_id=2020070800396001" target="_blank"&gt;Verified by Public Record&lt;/a&gt;</t>
  </si>
  <si>
    <t>House/Building/Condo</t>
  </si>
  <si>
    <t>Townhouse/Condo</t>
  </si>
  <si>
    <t>&lt;a href="http://a836-acris.nyc.gov/DS/DocumentSearch/DocumentDetail?doc_id=2017010400534001" target="_blank"&gt;Verified by Public Record&lt;/a&gt;</t>
  </si>
  <si>
    <t>&lt;a href="http://a836-acris.nyc.gov/DS/DocumentSearch/DocumentDetail?doc_id=2018121100901002" target="_blank"&gt;Verified by Public Record&lt;/a&gt;</t>
  </si>
  <si>
    <t>Rental/House/Building/Condo</t>
  </si>
  <si>
    <t>Townhouse/Condo/Other</t>
  </si>
  <si>
    <t>Part-Time Doorman, Remote Doorman</t>
  </si>
  <si>
    <t>&lt;a href="http://a836-acris.nyc.gov/DS/DocumentSearch/DocumentDetail?doc_id=2016070700574001" target="_blank"&gt;Verified by Public Record&lt;/a&gt;</t>
  </si>
  <si>
    <t>&lt;a href="http://a836-acris.nyc.gov/DS/DocumentSearch/DocumentDetail?doc_id=2017091901030001" target="_blank"&gt;Verified by Public Record&lt;/a&gt;</t>
  </si>
  <si>
    <t>Private Terrace
Deck
Common Roof Deck
Common Outdoor Space
Private Outdoor Space</t>
  </si>
  <si>
    <t>Condo/Other</t>
  </si>
  <si>
    <t>&lt;a href="http://a836-acris.nyc.gov/DS/DocumentSearch/DocumentDetail?doc_id=2021020500482001" target="_blank"&gt;Verified by Public Record&lt;/a&gt;</t>
  </si>
  <si>
    <t>&lt;a href="http://a836-acris.nyc.gov/DS/DocumentSearch/DocumentDetail?doc_id=2018052100715001" target="_blank"&gt;Verified by Public Record&lt;/a&gt;</t>
  </si>
  <si>
    <t>Playground</t>
  </si>
  <si>
    <t>&lt;a href="http://a836-acris.nyc.gov/DS/DocumentSearch/DocumentDetail?doc_id=2019120301227001" target="_blank"&gt;Verified by Public Record&lt;/a&gt;</t>
  </si>
  <si>
    <t>&lt;a href="http://a836-acris.nyc.gov/DS/DocumentSearch/DocumentDetail?doc_id=2019101400414001" target="_blank"&gt;Verified by Public Record&lt;/a&gt;</t>
  </si>
  <si>
    <t>&lt;a href="http://a836-acris.nyc.gov/DS/DocumentSearch/DocumentDetail?doc_id=2017080700772001" target="_blank"&gt;Verified by Public Record&lt;/a&gt;</t>
  </si>
  <si>
    <t>Balcony
Private Terrace
Common Roof Deck
Common Outdoor Space
Private Outdoor Space</t>
  </si>
  <si>
    <t>Condop/Condo</t>
  </si>
  <si>
    <t>&lt;a href="http://a836-acris.nyc.gov/DS/DocumentSearch/DocumentDetail?doc_id=2016011101301001" target="_blank"&gt;Verified by Public Record&lt;/a&gt;</t>
  </si>
  <si>
    <t>Private Roof Deck
Common Roof Deck
Private Outdoor Space</t>
  </si>
  <si>
    <t>Private Terrace
Common Roof Deck
Private Outdoor Space</t>
  </si>
  <si>
    <t>&lt;a href="http://a836-acris.nyc.gov/DS/DocumentSearch/DocumentDetail?doc_id=2017111000318002" target="_blank"&gt;Verified by Public Record&lt;/a&gt;</t>
  </si>
  <si>
    <t>Flatiron</t>
  </si>
  <si>
    <t>&lt;a href="http://a836-acris.nyc.gov/DS/DocumentSearch/DocumentDetail?doc_id=2017041000558001" target="_blank"&gt;Verified by Public Record&lt;/a&gt;</t>
  </si>
  <si>
    <t>Full-Time Doorman, Part-Time Doorman, Remote Doorman, Concierge</t>
  </si>
  <si>
    <t>&lt;a href="http://a836-acris.nyc.gov/DS/DocumentSearch/DocumentDetail?doc_id=2020012100700001" target="_blank"&gt;Verified by Public Record&lt;/a&gt;</t>
  </si>
  <si>
    <t>&lt;a href="http://a836-acris.nyc.gov/DS/DocumentSearch/DocumentDetail?doc_id=2021051900237001" target="_blank"&gt;Verified by Public Record&lt;/a&gt;</t>
  </si>
  <si>
    <t>&lt;a href="http://a836-acris.nyc.gov/DS/DocumentSearch/DocumentDetail?doc_id=2017061600797003" target="_blank"&gt;Verified by Public Record&lt;/a&gt;</t>
  </si>
  <si>
    <t>&lt;a href="http://a836-acris.nyc.gov/DS/DocumentSearch/DocumentDetail?doc_id=2016100701209001" target="_blank"&gt;Verified by Public Record&lt;/a&gt;</t>
  </si>
  <si>
    <t>&lt;a href="http://a836-acris.nyc.gov/DS/DocumentSearch/DocumentDetail?doc_id=2016053100962002" target="_blank"&gt;Verified by Public Record&lt;/a&gt;</t>
  </si>
  <si>
    <t>&lt;a href="http://a836-acris.nyc.gov/DS/DocumentSearch/DocumentDetail?doc_id=2017112101536002" target="_blank"&gt;Verified by Public Record&lt;/a&gt;</t>
  </si>
  <si>
    <t>&lt;a href="http://a836-acris.nyc.gov/DS/DocumentSearch/DocumentDetail?doc_id=2017062900807006" target="_blank"&gt;Verified by Public Record&lt;/a&gt;</t>
  </si>
  <si>
    <t>&lt;a href="http://a836-acris.nyc.gov/DS/DocumentSearch/DocumentDetail?doc_id=2017091100325002" target="_blank"&gt;Verified by Public Record&lt;/a&gt;</t>
  </si>
  <si>
    <t>&lt;a href="http://a836-acris.nyc.gov/DS/DocumentSearch/DocumentDetail?doc_id=2018091101018001" target="_blank"&gt;Verified by Public Record&lt;/a&gt;</t>
  </si>
  <si>
    <t>&lt;a href="http://a836-acris.nyc.gov/DS/DocumentSearch/DocumentDetail?doc_id=2020021100935002" target="_blank"&gt;Verified by Public Record&lt;/a&gt;</t>
  </si>
  <si>
    <t>&lt;a href="http://a836-acris.nyc.gov/DS/DocumentSearch/DocumentDetail?doc_id=2017080700226001" target="_blank"&gt;Verified by Public Record&lt;/a&gt;</t>
  </si>
  <si>
    <t>&lt;a href="http://a836-acris.nyc.gov/DS/DocumentSearch/DocumentDetail?doc_id=2017072800376006" target="_blank"&gt;Verified by Public Record&lt;/a&gt;</t>
  </si>
  <si>
    <t>&lt;a href="http://a836-acris.nyc.gov/DS/DocumentSearch/DocumentDetail?doc_id=2016051701097001" target="_blank"&gt;Verified by Public Record&lt;/a&gt;</t>
  </si>
  <si>
    <t>&lt;a href="http://a836-acris.nyc.gov/DS/DocumentSearch/DocumentDetail?doc_id=2016120100848001" target="_blank"&gt;Verified by Public Record&lt;/a&gt;</t>
  </si>
  <si>
    <t>&lt;a href="http://a836-acris.nyc.gov/DS/DocumentSearch/DocumentDetail?doc_id=2017011600438002" target="_blank"&gt;Verified by Public Record&lt;/a&gt;</t>
  </si>
  <si>
    <t>&lt;a href="http://a836-acris.nyc.gov/DS/DocumentSearch/DocumentDetail?doc_id=2016121901398001" target="_blank"&gt;Verified by Public Record&lt;/a&gt;</t>
  </si>
  <si>
    <t>&lt;a href="http://a836-acris.nyc.gov/DS/DocumentSearch/DocumentDetail?doc_id=2021041301223003" target="_blank"&gt;Verified by Public Record&lt;/a&gt;</t>
  </si>
  <si>
    <t>&lt;a href="http://a836-acris.nyc.gov/DS/DocumentSearch/DocumentDetail?doc_id=2019050200876003" target="_blank"&gt;Verified by Public Record&lt;/a&gt;</t>
  </si>
  <si>
    <t>&lt;a href="http://a836-acris.nyc.gov/DS/DocumentSearch/DocumentDetail?doc_id=2017082401173003" target="_blank"&gt;Verified by Public Record&lt;/a&gt;</t>
  </si>
  <si>
    <t>&lt;a href="http://a836-acris.nyc.gov/DS/DocumentSearch/DocumentDetail?doc_id=2015050601269001" target="_blank"&gt;Verified by Public Record&lt;/a&gt;</t>
  </si>
  <si>
    <t>&lt;a href="http://a836-acris.nyc.gov/DS/DocumentSearch/DocumentDetail?doc_id=2016111800873001" target="_blank"&gt;Verified by Public Record&lt;/a&gt;</t>
  </si>
  <si>
    <t>&lt;a href="http://a836-acris.nyc.gov/DS/DocumentSearch/DocumentDetail?doc_id=2018081700409001" target="_blank"&gt;Verified by Public Record&lt;/a&gt;</t>
  </si>
  <si>
    <t>&lt;a href="http://a836-acris.nyc.gov/DS/DocumentSearch/DocumentDetail?doc_id=2016112800888001" target="_blank"&gt;Verified by Public Record&lt;/a&gt;</t>
  </si>
  <si>
    <t>&lt;a href="http://a836-acris.nyc.gov/DS/DocumentSearch/DocumentDetail?doc_id=2016050900446001" target="_blank"&gt;Verified by Public Record&lt;/a&gt;</t>
  </si>
  <si>
    <t>&lt;a href="http://a836-acris.nyc.gov/DS/DocumentSearch/DocumentDetail?doc_id=2017020101346001" target="_blank"&gt;Verified by Public Record&lt;/a&gt;</t>
  </si>
  <si>
    <t>&lt;a href="http://a836-acris.nyc.gov/DS/DocumentSearch/DocumentDetail?doc_id=2016113000348001" target="_blank"&gt;Verified by Public Record&lt;/a&gt;</t>
  </si>
  <si>
    <t>&lt;a href="http://a836-acris.nyc.gov/DS/DocumentSearch/DocumentDetail?doc_id=2016122202113001" target="_blank"&gt;Verified by Public Record&lt;/a&gt;</t>
  </si>
  <si>
    <t>&lt;a href="http://a836-acris.nyc.gov/DS/DocumentSearch/DocumentDetail?doc_id=2017013100689001" target="_blank"&gt;Verified by Public Record&lt;/a&gt;</t>
  </si>
  <si>
    <t>&lt;a href="http://a836-acris.nyc.gov/DS/DocumentSearch/DocumentDetail?doc_id=2016092300343001" target="_blank"&gt;Verified by Public Record&lt;/a&gt;</t>
  </si>
  <si>
    <t>&lt;a href="http://a836-acris.nyc.gov/DS/DocumentSearch/DocumentDetail?doc_id=2016102400885001" target="_blank"&gt;Verified by Public Record&lt;/a&gt;</t>
  </si>
  <si>
    <t>&lt;a href="http://a836-acris.nyc.gov/DS/DocumentSearch/DocumentDetail?doc_id=2016092001472001" target="_blank"&gt;Verified by Public Record&lt;/a&gt;</t>
  </si>
  <si>
    <t>&lt;a href="http://a836-acris.nyc.gov/DS/DocumentSearch/DocumentDetail?doc_id=2016100300996001" target="_blank"&gt;Verified by Public Record&lt;/a&gt;</t>
  </si>
  <si>
    <t>&lt;a href="http://a836-acris.nyc.gov/DS/DocumentSearch/DocumentDetail?doc_id=2017110600306001" target="_blank"&gt;Verified by Public Record&lt;/a&gt;</t>
  </si>
  <si>
    <t>&lt;a href="http://a836-acris.nyc.gov/DS/DocumentSearch/DocumentDetail?doc_id=2016122900370001" target="_blank"&gt;Verified by Public Record&lt;/a&gt;</t>
  </si>
  <si>
    <t>&lt;a href="http://a836-acris.nyc.gov/DS/DocumentSearch/DocumentDetail?doc_id=2016122701489001" target="_blank"&gt;Verified by Public Record&lt;/a&gt;</t>
  </si>
  <si>
    <t>&lt;a href="http://a836-acris.nyc.gov/DS/DocumentSearch/DocumentDetail?doc_id=2017022400079001" target="_blank"&gt;Verified by Public Record&lt;/a&gt;</t>
  </si>
  <si>
    <t>&lt;a href="http://a836-acris.nyc.gov/DS/DocumentSearch/DocumentDetail?doc_id=2020081300937001" target="_blank"&gt;Verified by Public Record&lt;/a&gt;</t>
  </si>
  <si>
    <t>&lt;a href="http://a836-acris.nyc.gov/DS/DocumentSearch/DocumentDetail?doc_id=2020121600629001" target="_blank"&gt;Verified by Public Record&lt;/a&gt;</t>
  </si>
  <si>
    <t>Common Roof Deck
Barbecue Area</t>
  </si>
  <si>
    <t>&lt;a href="http://a836-acris.nyc.gov/DS/DocumentSearch/DocumentDetail?doc_id=2021020301118001" target="_blank"&gt;Verified by Public Record&lt;/a&gt;</t>
  </si>
  <si>
    <t>&lt;a href="http://a836-acris.nyc.gov/DS/DocumentSearch/DocumentDetail?doc_id=2017042600973005" target="_blank"&gt;Verified by Public Record&lt;/a&gt;</t>
  </si>
  <si>
    <t>&lt;a href="http://a836-acris.nyc.gov/DS/DocumentSearch/DocumentDetail?doc_id=2020092200337003" target="_blank"&gt;Verified by Public Record&lt;/a&gt;</t>
  </si>
  <si>
    <t>Private Outdoor Space</t>
  </si>
  <si>
    <t>&lt;a href="http://a836-acris.nyc.gov/DS/DocumentSearch/DocumentDetail?doc_id=2016081200145001" target="_blank"&gt;Verified by Public Record&lt;/a&gt;</t>
  </si>
  <si>
    <t>&lt;a href="http://a836-acris.nyc.gov/DS/DocumentSearch/DocumentDetail?doc_id=2016072600446001" target="_blank"&gt;Verified by Public Record&lt;/a&gt;</t>
  </si>
  <si>
    <t>&lt;a href="http://a836-acris.nyc.gov/DS/DocumentSearch/DocumentDetail?doc_id=2016081200773001" target="_blank"&gt;Verified by Public Record&lt;/a&gt;</t>
  </si>
  <si>
    <t>&lt;a href="http://a836-acris.nyc.gov/DS/DocumentSearch/DocumentDetail?doc_id=2016101101193002" target="_blank"&gt;Verified by Public Record&lt;/a&gt;</t>
  </si>
  <si>
    <t>&lt;a href="http://a836-acris.nyc.gov/DS/DocumentSearch/DocumentDetail?doc_id=2016102100725003" target="_blank"&gt;Verified by Public Record&lt;/a&gt;</t>
  </si>
  <si>
    <t>&lt;a href="http://a836-acris.nyc.gov/DS/DocumentSearch/DocumentDetail?doc_id=2017011000480001" target="_blank"&gt;Verified by Public Record&lt;/a&gt;</t>
  </si>
  <si>
    <t>&lt;a href="http://a836-acris.nyc.gov/DS/DocumentSearch/DocumentDetail?doc_id=2017012300839005" target="_blank"&gt;Verified by Public Record&lt;/a&gt;</t>
  </si>
  <si>
    <t>&lt;a href="http://a836-acris.nyc.gov/DS/DocumentSearch/DocumentDetail?doc_id=2016091301400001" target="_blank"&gt;Verified by Public Record&lt;/a&gt;</t>
  </si>
  <si>
    <t>&lt;a href="http://a836-acris.nyc.gov/DS/DocumentSearch/DocumentDetail?doc_id=2016101701013001" target="_blank"&gt;Verified by Public Record&lt;/a&gt;</t>
  </si>
  <si>
    <t>&lt;a href="http://a836-acris.nyc.gov/DS/DocumentSearch/DocumentDetail?doc_id=2016121502305001" target="_blank"&gt;Verified by Public Record&lt;/a&gt;</t>
  </si>
  <si>
    <t>&lt;a href="http://a836-acris.nyc.gov/DS/DocumentSearch/DocumentDetail?doc_id=2016101201020001" target="_blank"&gt;Verified by Public Record&lt;/a&gt;</t>
  </si>
  <si>
    <t>&lt;a href="http://a836-acris.nyc.gov/DS/DocumentSearch/DocumentDetail?doc_id=2017011100172001" target="_blank"&gt;Verified by Public Record&lt;/a&gt;</t>
  </si>
  <si>
    <t>&lt;a href="http://a836-acris.nyc.gov/DS/DocumentSearch/DocumentDetail?doc_id=2019053100237001" target="_blank"&gt;Verified by Public Record&lt;/a&gt;</t>
  </si>
  <si>
    <t>&lt;a href="http://a836-acris.nyc.gov/DS/DocumentSearch/DocumentDetail?doc_id=2019061400239001" target="_blank"&gt;Verified by Public Record&lt;/a&gt;</t>
  </si>
  <si>
    <t>&lt;a href="http://a836-acris.nyc.gov/DS/DocumentSearch/DocumentDetail?doc_id=2017042000681001" target="_blank"&gt;Verified by Public Record&lt;/a&gt;</t>
  </si>
  <si>
    <t>&lt;a href="http://a836-acris.nyc.gov/DS/DocumentSearch/DocumentDetail?doc_id=2017111700956001" target="_blank"&gt;Verified by Public Record&lt;/a&gt;</t>
  </si>
  <si>
    <t>&lt;a href="http://a836-acris.nyc.gov/DS/DocumentSearch/DocumentDetail?doc_id=2016120600938002" target="_blank"&gt;Verified by Public Record&lt;/a&gt;</t>
  </si>
  <si>
    <t>&lt;a href="http://a836-acris.nyc.gov/DS/DocumentSearch/DocumentDetail?doc_id=2017030200223001" target="_blank"&gt;Verified by Public Record&lt;/a&gt;</t>
  </si>
  <si>
    <t>&lt;a href="http://a836-acris.nyc.gov/DS/DocumentSearch/DocumentDetail?doc_id=2017032700829003" target="_blank"&gt;Verified by Public Record&lt;/a&gt;</t>
  </si>
  <si>
    <t>&lt;a href="http://a836-acris.nyc.gov/DS/DocumentSearch/DocumentDetail?doc_id=2017040900059001" target="_blank"&gt;Verified by Public Record&lt;/a&gt;</t>
  </si>
  <si>
    <t>&lt;a href="http://a836-acris.nyc.gov/DS/DocumentSearch/DocumentDetail?doc_id=2017051500440001" target="_blank"&gt;Verified by Public Record&lt;/a&gt;</t>
  </si>
  <si>
    <t>&lt;a href="http://a836-acris.nyc.gov/DS/DocumentSearch/DocumentDetail?doc_id=2016110201491001" target="_blank"&gt;Verified by Public Record&lt;/a&gt;</t>
  </si>
  <si>
    <t>&lt;a href="http://a836-acris.nyc.gov/DS/DocumentSearch/DocumentDetail?doc_id=2016120600620001" target="_blank"&gt;Verified by Public Record&lt;/a&gt;</t>
  </si>
  <si>
    <t>&lt;a href="http://a836-acris.nyc.gov/DS/DocumentSearch/DocumentDetail?doc_id=2018051400150001" target="_blank"&gt;Verified by Public Record&lt;/a&gt;</t>
  </si>
  <si>
    <t>Doorman, Full-Time Doorman, Full-Service Building</t>
  </si>
  <si>
    <t>&lt;a href="http://a836-acris.nyc.gov/DS/DocumentSearch/DocumentDetail?doc_id=2020091500893001" target="_blank"&gt;Verified by Public Record&lt;/a&gt;</t>
  </si>
  <si>
    <t>&lt;a href="http://a836-acris.nyc.gov/DS/DocumentSearch/DocumentDetail?doc_id=2016122300478001" target="_blank"&gt;Verified by Public Record&lt;/a&gt;</t>
  </si>
  <si>
    <t>&lt;a href="http://a836-acris.nyc.gov/DS/DocumentSearch/DocumentDetail?doc_id=2017013101113001" target="_blank"&gt;Verified by Public Record&lt;/a&gt;</t>
  </si>
  <si>
    <t>&lt;a href="http://a836-acris.nyc.gov/DS/DocumentSearch/DocumentDetail?doc_id=2017012500446001" target="_blank"&gt;Verified by Public Record&lt;/a&gt;</t>
  </si>
  <si>
    <t>&lt;a href="http://a836-acris.nyc.gov/DS/DocumentSearch/DocumentDetail?doc_id=2016121201086001" target="_blank"&gt;Verified by Public Record&lt;/a&gt;</t>
  </si>
  <si>
    <t>&lt;a href="http://a836-acris.nyc.gov/DS/DocumentSearch/DocumentDetail?doc_id=2016080200353001" target="_blank"&gt;Verified by Public Record&lt;/a&gt;</t>
  </si>
  <si>
    <t>&lt;a href="http://a836-acris.nyc.gov/DS/DocumentSearch/DocumentDetail?doc_id=2016082200270001" target="_blank"&gt;Verified by Public Record&lt;/a&gt;</t>
  </si>
  <si>
    <t>&lt;a href="http://a836-acris.nyc.gov/DS/DocumentSearch/DocumentDetail?doc_id=2019070801265001" target="_blank"&gt;Verified by Public Record&lt;/a&gt;</t>
  </si>
  <si>
    <t>&lt;a href="http://a836-acris.nyc.gov/DS/DocumentSearch/DocumentDetail?doc_id=2017072001424001" target="_blank"&gt;Verified by Public Record&lt;/a&gt;</t>
  </si>
  <si>
    <t>&lt;a href="http://a836-acris.nyc.gov/DS/DocumentSearch/DocumentDetail?doc_id=2018021300972002" target="_blank"&gt;Verified by Public Record&lt;/a&gt;</t>
  </si>
  <si>
    <t>&lt;a href="http://a836-acris.nyc.gov/DS/DocumentSearch/DocumentDetail?doc_id=2017090800488001" target="_blank"&gt;Verified by Public Record&lt;/a&gt;</t>
  </si>
  <si>
    <t>&lt;a href="http://a836-acris.nyc.gov/DS/DocumentSearch/DocumentDetail?doc_id=2017053000631001" target="_blank"&gt;Verified by Public Record&lt;/a&gt;</t>
  </si>
  <si>
    <t>&lt;a href="http://a836-acris.nyc.gov/DS/DocumentSearch/DocumentDetail?doc_id=2017030101109001" target="_blank"&gt;Verified by Public Record&lt;/a&gt;</t>
  </si>
  <si>
    <t>&lt;a href="http://a836-acris.nyc.gov/DS/DocumentSearch/DocumentDetail?doc_id=2019020600114001" target="_blank"&gt;Verified by Public Record&lt;/a&gt;</t>
  </si>
  <si>
    <t>&lt;a href="http://a836-acris.nyc.gov/DS/DocumentSearch/DocumentDetail?doc_id=2019010700691001" target="_blank"&gt;Verified by Public Record&lt;/a&gt;</t>
  </si>
  <si>
    <t>&lt;a href="http://a836-acris.nyc.gov/DS/DocumentSearch/DocumentDetail?doc_id=2020122200238003" target="_blank"&gt;Verified by Public Record&lt;/a&gt;</t>
  </si>
  <si>
    <t>Private Terrace
Common Roof Deck
Barbecue Area
Common Outdoor Space
Private Outdoor Space</t>
  </si>
  <si>
    <t>&lt;a href="http://a836-acris.nyc.gov/DS/DocumentSearch/DocumentDetail?doc_id=2016100400538001" target="_blank"&gt;Verified by Public Record&lt;/a&gt;</t>
  </si>
  <si>
    <t>&lt;a href="http://a836-acris.nyc.gov/DS/DocumentSearch/DocumentDetail?doc_id=2016092800499001" target="_blank"&gt;Verified by Public Record&lt;/a&gt;</t>
  </si>
  <si>
    <t>&lt;a href="http://a836-acris.nyc.gov/DS/DocumentSearch/DocumentDetail?doc_id=2017011901101001" target="_blank"&gt;Verified by Public Record&lt;/a&gt;</t>
  </si>
  <si>
    <t>&lt;a href="http://a836-acris.nyc.gov/DS/DocumentSearch/DocumentDetail?doc_id=2017041300956001" target="_blank"&gt;Verified by Public Record&lt;/a&gt;</t>
  </si>
  <si>
    <t>&lt;a href="http://a836-acris.nyc.gov/DS/DocumentSearch/DocumentDetail?doc_id=2017051200344001" target="_blank"&gt;Verified by Public Record&lt;/a&gt;</t>
  </si>
  <si>
    <t>&lt;a href="http://a836-acris.nyc.gov/DS/DocumentSearch/DocumentDetail?doc_id=2016090100734001" target="_blank"&gt;Verified by Public Record&lt;/a&gt;</t>
  </si>
  <si>
    <t>&lt;a href="http://a836-acris.nyc.gov/DS/DocumentSearch/DocumentDetail?doc_id=2016072700839001" target="_blank"&gt;Verified by Public Record&lt;/a&gt;</t>
  </si>
  <si>
    <t>&lt;a href="http://a836-acris.nyc.gov/DS/DocumentSearch/DocumentDetail?doc_id=2016080400774001" target="_blank"&gt;Verified by Public Record&lt;/a&gt;</t>
  </si>
  <si>
    <t>&lt;a href="http://a836-acris.nyc.gov/DS/DocumentSearch/DocumentDetail?doc_id=2016120100810001" target="_blank"&gt;Verified by Public Record&lt;/a&gt;</t>
  </si>
  <si>
    <t>&lt;a href="http://a836-acris.nyc.gov/DS/DocumentSearch/DocumentDetail?doc_id=2016121501333001" target="_blank"&gt;Verified by Public Record&lt;/a&gt;</t>
  </si>
  <si>
    <t>&lt;a href="http://a836-acris.nyc.gov/DS/DocumentSearch/DocumentDetail?doc_id=2017071200188002" target="_blank"&gt;Verified by Public Record&lt;/a&gt;</t>
  </si>
  <si>
    <t>&lt;a href="http://a836-acris.nyc.gov/DS/DocumentSearch/DocumentDetail?doc_id=2017041200616003" target="_blank"&gt;Verified by Public Record&lt;/a&gt;</t>
  </si>
  <si>
    <t>&lt;a href="http://a836-acris.nyc.gov/DS/DocumentSearch/DocumentDetail?doc_id=2016091200670001" target="_blank"&gt;Verified by Public Record&lt;/a&gt;</t>
  </si>
  <si>
    <t>&lt;a href="http://a836-acris.nyc.gov/DS/DocumentSearch/DocumentDetail?doc_id=2017010901442001" target="_blank"&gt;Verified by Public Record&lt;/a&gt;</t>
  </si>
  <si>
    <t>&lt;a href="http://a836-acris.nyc.gov/DS/DocumentSearch/DocumentDetail?doc_id=2017020100086002" target="_blank"&gt;Verified by Public Record&lt;/a&gt;</t>
  </si>
  <si>
    <t>&lt;a href="http://a836-acris.nyc.gov/DS/DocumentSearch/DocumentDetail?doc_id=2017032000124002" target="_blank"&gt;Verified by Public Record&lt;/a&gt;</t>
  </si>
  <si>
    <t>&lt;a href="http://a836-acris.nyc.gov/DS/DocumentSearch/DocumentDetail?doc_id=2017032800251001" target="_blank"&gt;Verified by Public Record&lt;/a&gt;</t>
  </si>
  <si>
    <t>&lt;a href="http://a836-acris.nyc.gov/DS/DocumentSearch/DocumentDetail?doc_id=2017042400111003" target="_blank"&gt;Verified by Public Record&lt;/a&gt;</t>
  </si>
  <si>
    <t>&lt;a href="http://a836-acris.nyc.gov/DS/DocumentSearch/DocumentDetail?doc_id=2017052600170001" target="_blank"&gt;Verified by Public Record&lt;/a&gt;</t>
  </si>
  <si>
    <t>&lt;a href="http://a836-acris.nyc.gov/DS/DocumentSearch/DocumentDetail?doc_id=2018041100876001" target="_blank"&gt;Verified by Public Record&lt;/a&gt;</t>
  </si>
  <si>
    <t>&lt;a href="http://a836-acris.nyc.gov/DS/DocumentSearch/DocumentDetail?doc_id=2017032901377001" target="_blank"&gt;Verified by Public Record&lt;/a&gt;</t>
  </si>
  <si>
    <t>&lt;a href="http://a836-acris.nyc.gov/DS/DocumentSearch/DocumentDetail?doc_id=2021060300357001" target="_blank"&gt;Verified by Public Record&lt;/a&gt;</t>
  </si>
  <si>
    <t>&lt;a href="http://a836-acris.nyc.gov/DS/DocumentSearch/DocumentDetail?doc_id=2017050901352002" target="_blank"&gt;Verified by Public Record&lt;/a&gt;</t>
  </si>
  <si>
    <t>&lt;a href="http://a836-acris.nyc.gov/DS/DocumentSearch/DocumentDetail?doc_id=2017081400245001" target="_blank"&gt;Verified by Public Record&lt;/a&gt;</t>
  </si>
  <si>
    <t>&lt;a href="http://a836-acris.nyc.gov/DS/DocumentSearch/DocumentDetail?doc_id=2016110900178001" target="_blank"&gt;Verified by Public Record&lt;/a&gt;</t>
  </si>
  <si>
    <t>&lt;a href="http://a836-acris.nyc.gov/DS/DocumentSearch/DocumentDetail?doc_id=2017082700007001" target="_blank"&gt;Verified by Public Record&lt;/a&gt;</t>
  </si>
  <si>
    <t>&lt;a href="http://a836-acris.nyc.gov/DS/DocumentSearch/DocumentDetail?doc_id=2016051900491001" target="_blank"&gt;Verified by Public Record&lt;/a&gt;</t>
  </si>
  <si>
    <t>&lt;a href="http://a836-acris.nyc.gov/DS/DocumentSearch/DocumentDetail?doc_id=2021070200124002" target="_blank"&gt;Verified by Public Record&lt;/a&gt;</t>
  </si>
  <si>
    <t>&lt;a href="http://a836-acris.nyc.gov/DS/DocumentSearch/DocumentDetail?doc_id=2016081600658005" target="_blank"&gt;Verified by Public Record&lt;/a&gt;</t>
  </si>
  <si>
    <t>&lt;a href="http://a836-acris.nyc.gov/DS/DocumentSearch/DocumentDetail?doc_id=2017041200078001" target="_blank"&gt;Verified by Public Record&lt;/a&gt;</t>
  </si>
  <si>
    <t>&lt;a href="http://a836-acris.nyc.gov/DS/DocumentSearch/DocumentDetail?doc_id=2021011400517001" target="_blank"&gt;Verified by Public Record&lt;/a&gt;</t>
  </si>
  <si>
    <t>&lt;a href="http://a836-acris.nyc.gov/DS/DocumentSearch/DocumentDetail?doc_id=2017090300028001" target="_blank"&gt;Verified by Public Record&lt;/a&gt;</t>
  </si>
  <si>
    <t>&lt;a href="http://a836-acris.nyc.gov/DS/DocumentSearch/DocumentDetail?doc_id=2016082500631001" target="_blank"&gt;Verified by Public Record&lt;/a&gt;</t>
  </si>
  <si>
    <t>&lt;a href="http://a836-acris.nyc.gov/DS/DocumentSearch/DocumentDetail?doc_id=2016081001003004" target="_blank"&gt;Verified by Public Record&lt;/a&gt;</t>
  </si>
  <si>
    <t>&lt;a href="http://a836-acris.nyc.gov/DS/DocumentSearch/DocumentDetail?doc_id=2016082400158001" target="_blank"&gt;Verified by Public Record&lt;/a&gt;</t>
  </si>
  <si>
    <t>&lt;a href="http://a836-acris.nyc.gov/DS/DocumentSearch/DocumentDetail?doc_id=2016122100134001" target="_blank"&gt;Verified by Public Record&lt;/a&gt;</t>
  </si>
  <si>
    <t>&lt;a href="http://a836-acris.nyc.gov/DS/DocumentSearch/DocumentDetail?doc_id=2016110300616001" target="_blank"&gt;Verified by Public Record&lt;/a&gt;</t>
  </si>
  <si>
    <t>&lt;a href="http://a836-acris.nyc.gov/DS/DocumentSearch/DocumentDetail?doc_id=2016110701219001" target="_blank"&gt;Verified by Public Record&lt;/a&gt;</t>
  </si>
  <si>
    <t>&lt;a href="http://a836-acris.nyc.gov/DS/DocumentSearch/DocumentDetail?doc_id=2016081901208001" target="_blank"&gt;Verified by Public Record&lt;/a&gt;</t>
  </si>
  <si>
    <t>&lt;a href="http://a836-acris.nyc.gov/DS/DocumentSearch/DocumentDetail?doc_id=2016090601059001" target="_blank"&gt;Verified by Public Record&lt;/a&gt;</t>
  </si>
  <si>
    <t>&lt;a href="http://a836-acris.nyc.gov/DS/DocumentSearch/DocumentDetail?doc_id=2016102400190003" target="_blank"&gt;Verified by Public Record&lt;/a&gt;</t>
  </si>
  <si>
    <t>&lt;a href="http://a836-acris.nyc.gov/DS/DocumentSearch/DocumentDetail?doc_id=2016082600164001" target="_blank"&gt;Verified by Public Record&lt;/a&gt;</t>
  </si>
  <si>
    <t>&lt;a href="http://a836-acris.nyc.gov/DS/DocumentSearch/DocumentDetail?doc_id=2017041800838002" target="_blank"&gt;Verified by Public Record&lt;/a&gt;</t>
  </si>
  <si>
    <t>&lt;a href="http://a836-acris.nyc.gov/DS/DocumentSearch/DocumentDetail?doc_id=2016101800558001" target="_blank"&gt;Verified by Public Record&lt;/a&gt;</t>
  </si>
  <si>
    <t>&lt;a href="http://a836-acris.nyc.gov/DS/DocumentSearch/DocumentDetail?doc_id=2017041100966001" target="_blank"&gt;Verified by Public Record&lt;/a&gt;</t>
  </si>
  <si>
    <t>&lt;a href="http://a836-acris.nyc.gov/DS/DocumentSearch/DocumentDetail?doc_id=2017020600179002" target="_blank"&gt;Verified by Public Record&lt;/a&gt;</t>
  </si>
  <si>
    <t>&lt;a href="http://a836-acris.nyc.gov/DS/DocumentSearch/DocumentDetail?doc_id=2017021501119001" target="_blank"&gt;Verified by Public Record&lt;/a&gt;</t>
  </si>
  <si>
    <t>&lt;a href="http://a836-acris.nyc.gov/DS/DocumentSearch/DocumentDetail?doc_id=2017020701097001" target="_blank"&gt;Verified by Public Record&lt;/a&gt;</t>
  </si>
  <si>
    <t>&lt;a href="http://a836-acris.nyc.gov/DS/DocumentSearch/DocumentDetail?doc_id=2017031600023001" target="_blank"&gt;Verified by Public Record&lt;/a&gt;</t>
  </si>
  <si>
    <t>&lt;a href="http://a836-acris.nyc.gov/DS/DocumentSearch/DocumentDetail?doc_id=2017062600448001" target="_blank"&gt;Verified by Public Record&lt;/a&gt;</t>
  </si>
  <si>
    <t>&lt;a href="http://a836-acris.nyc.gov/DS/DocumentSearch/DocumentDetail?doc_id=2021020900389001" target="_blank"&gt;Verified by Public Record&lt;/a&gt;</t>
  </si>
  <si>
    <t>&lt;a href="http://a836-acris.nyc.gov/DS/DocumentSearch/DocumentDetail?doc_id=2016110101102001" target="_blank"&gt;Verified by Public Record&lt;/a&gt;</t>
  </si>
  <si>
    <t>&lt;a href="http://a836-acris.nyc.gov/DS/DocumentSearch/DocumentDetail?doc_id=2017032101118003" target="_blank"&gt;Verified by Public Record&lt;/a&gt;</t>
  </si>
  <si>
    <t>&lt;a href="http://a836-acris.nyc.gov/DS/DocumentSearch/DocumentDetail?doc_id=2017042000390001" target="_blank"&gt;Verified by Public Record&lt;/a&gt;</t>
  </si>
  <si>
    <t>&lt;a href="http://a836-acris.nyc.gov/DS/DocumentSearch/DocumentDetail?doc_id=2017040301387001" target="_blank"&gt;Verified by Public Record&lt;/a&gt;</t>
  </si>
  <si>
    <t>&lt;a href="http://a836-acris.nyc.gov/DS/DocumentSearch/DocumentDetail?doc_id=2019032500925001" target="_blank"&gt;Verified by Public Record&lt;/a&gt;</t>
  </si>
  <si>
    <t>Balcony</t>
  </si>
  <si>
    <t>&lt;a href="http://a836-acris.nyc.gov/DS/DocumentSearch/DocumentDetail?doc_id=2020082100690001" target="_blank"&gt;Verified by Public Record&lt;/a&gt;</t>
  </si>
  <si>
    <t>&lt;a href="http://a836-acris.nyc.gov/DS/DocumentSearch/DocumentDetail?doc_id=2017033000962001" target="_blank"&gt;Verified by Public Record&lt;/a&gt;</t>
  </si>
  <si>
    <t>&lt;a href="http://a836-acris.nyc.gov/DS/DocumentSearch/DocumentDetail?doc_id=2017042600973002" target="_blank"&gt;Verified by Public Record&lt;/a&gt;</t>
  </si>
  <si>
    <t>&lt;a href="http://a836-acris.nyc.gov/DS/DocumentSearch/DocumentDetail?doc_id=2016051700260002" target="_blank"&gt;Verified by Public Record&lt;/a&gt;</t>
  </si>
  <si>
    <t>&lt;a href="http://a836-acris.nyc.gov/DS/DocumentSearch/DocumentDetail?doc_id=2019070100338001" target="_blank"&gt;Verified by Public Record&lt;/a&gt;</t>
  </si>
  <si>
    <t>&lt;a href="http://a836-acris.nyc.gov/DS/DocumentSearch/DocumentDetail?doc_id=2018121700257002" target="_blank"&gt;Verified by Public Record&lt;/a&gt;</t>
  </si>
  <si>
    <t>&lt;a href="http://a836-acris.nyc.gov/DS/DocumentSearch/DocumentDetail?doc_id=2015111100472001" target="_blank"&gt;Verified by Public Record&lt;/a&gt;</t>
  </si>
  <si>
    <t>&lt;a href="http://a836-acris.nyc.gov/DS/DocumentSearch/DocumentDetail?doc_id=2018032100364001" target="_blank"&gt;Verified by Public Record&lt;/a&gt;</t>
  </si>
  <si>
    <t>&lt;a href="http://a836-acris.nyc.gov/DS/DocumentSearch/DocumentDetail?doc_id=2017012300593001" target="_blank"&gt;Verified by Public Record&lt;/a&gt;</t>
  </si>
  <si>
    <t>&lt;a href="http://a836-acris.nyc.gov/DS/DocumentSearch/DocumentDetail?doc_id=2017022701753001" target="_blank"&gt;Verified by Public Record&lt;/a&gt;</t>
  </si>
  <si>
    <t>&lt;a href="http://a836-acris.nyc.gov/DS/DocumentSearch/DocumentDetail?doc_id=2018022000996002" target="_blank"&gt;Verified by Public Record&lt;/a&gt;</t>
  </si>
  <si>
    <t>&lt;a href="http://a836-acris.nyc.gov/DS/DocumentSearch/DocumentDetail?doc_id=2016120200920001" target="_blank"&gt;Verified by Public Record&lt;/a&gt;</t>
  </si>
  <si>
    <t>&lt;a href="http://a836-acris.nyc.gov/DS/DocumentSearch/DocumentDetail?doc_id=2017012501697001" target="_blank"&gt;Verified by Public Record&lt;/a&gt;</t>
  </si>
  <si>
    <t>&lt;a href="http://a836-acris.nyc.gov/DS/DocumentSearch/DocumentDetail?doc_id=2017081800393002" target="_blank"&gt;Verified by Public Record&lt;/a&gt;</t>
  </si>
  <si>
    <t>&lt;a href="http://a836-acris.nyc.gov/DS/DocumentSearch/DocumentDetail?doc_id=2017020600568001" target="_blank"&gt;Verified by Public Record&lt;/a&gt;</t>
  </si>
  <si>
    <t>&lt;a href="http://a836-acris.nyc.gov/DS/DocumentSearch/DocumentDetail?doc_id=2017032901447001" target="_blank"&gt;Verified by Public Record&lt;/a&gt;</t>
  </si>
  <si>
    <t>&lt;a href="http://a836-acris.nyc.gov/DS/DocumentSearch/DocumentDetail?doc_id=2018120800007001" target="_blank"&gt;Verified by Public Record&lt;/a&gt;</t>
  </si>
  <si>
    <t>&lt;a href="http://a836-acris.nyc.gov/DS/DocumentSearch/DocumentDetail?doc_id=2018120500989001" target="_blank"&gt;Verified by Public Record&lt;/a&gt;</t>
  </si>
  <si>
    <t>&lt;a href="http://a836-acris.nyc.gov/DS/DocumentSearch/DocumentDetail?doc_id=2016050200674002" target="_blank"&gt;Verified by Public Record&lt;/a&gt;</t>
  </si>
  <si>
    <t>&lt;a href="http://a836-acris.nyc.gov/DS/DocumentSearch/DocumentDetail?doc_id=2016112300323001" target="_blank"&gt;Verified by Public Record&lt;/a&gt;</t>
  </si>
  <si>
    <t>&lt;a href="http://a836-acris.nyc.gov/DS/DocumentSearch/DocumentDetail?doc_id=2020081300845006" target="_blank"&gt;Verified by Public Record&lt;/a&gt;</t>
  </si>
  <si>
    <t>&lt;a href="http://a836-acris.nyc.gov/DS/DocumentSearch/DocumentDetail?doc_id=2020072000150002" target="_blank"&gt;Verified by Public Record&lt;/a&gt;</t>
  </si>
  <si>
    <t>&lt;a href="http://a836-acris.nyc.gov/DS/DocumentSearch/DocumentDetail?doc_id=2018041900622001" target="_blank"&gt;Verified by Public Record&lt;/a&gt;</t>
  </si>
  <si>
    <t>&lt;a href="http://a836-acris.nyc.gov/DS/DocumentSearch/DocumentDetail?doc_id=2020082200072001" target="_blank"&gt;Verified by Public Record&lt;/a&gt;</t>
  </si>
  <si>
    <t>&lt;a href="http://a836-acris.nyc.gov/DS/DocumentSearch/DocumentDetail?doc_id=2016082300290002" target="_blank"&gt;Verified by Public Record&lt;/a&gt;</t>
  </si>
  <si>
    <t>&lt;a href="http://a836-acris.nyc.gov/DS/DocumentSearch/DocumentDetail?doc_id=2016112100761001" target="_blank"&gt;Verified by Public Record&lt;/a&gt;</t>
  </si>
  <si>
    <t>&lt;a href="http://a836-acris.nyc.gov/DS/DocumentSearch/DocumentDetail?doc_id=2017030801532001" target="_blank"&gt;Verified by Public Record&lt;/a&gt;</t>
  </si>
  <si>
    <t>&lt;a href="http://a836-acris.nyc.gov/DS/DocumentSearch/DocumentDetail?doc_id=2017012501285001" target="_blank"&gt;Verified by Public Record&lt;/a&gt;</t>
  </si>
  <si>
    <t>&lt;a href="http://a836-acris.nyc.gov/DS/DocumentSearch/DocumentDetail?doc_id=2017020300365001" target="_blank"&gt;Verified by Public Record&lt;/a&gt;</t>
  </si>
  <si>
    <t>&lt;a href="http://a836-acris.nyc.gov/DS/DocumentSearch/DocumentDetail?doc_id=2017021000594001" target="_blank"&gt;Verified by Public Record&lt;/a&gt;</t>
  </si>
  <si>
    <t>&lt;a href="http://a836-acris.nyc.gov/DS/DocumentSearch/DocumentDetail?doc_id=2017051201261001" target="_blank"&gt;Verified by Public Record&lt;/a&gt;</t>
  </si>
  <si>
    <t>&lt;a href="http://a836-acris.nyc.gov/DS/DocumentSearch/DocumentDetail?doc_id=2017050800217001" target="_blank"&gt;Verified by Public Record&lt;/a&gt;</t>
  </si>
  <si>
    <t>&lt;a href="http://a836-acris.nyc.gov/DS/DocumentSearch/DocumentDetail?doc_id=2017051201263002" target="_blank"&gt;Verified by Public Record&lt;/a&gt;</t>
  </si>
  <si>
    <t>&lt;a href="http://a836-acris.nyc.gov/DS/DocumentSearch/DocumentDetail?doc_id=2018020800405001" target="_blank"&gt;Verified by Public Record&lt;/a&gt;</t>
  </si>
  <si>
    <t>Doorman, Full-Time Doorman, Concierge, Full-Service Building</t>
  </si>
  <si>
    <t>&lt;a href="http://a836-acris.nyc.gov/DS/DocumentSearch/DocumentDetail?doc_id=2019062100594001" target="_blank"&gt;Verified by Public Record&lt;/a&gt;</t>
  </si>
  <si>
    <t>&lt;a href="http://a836-acris.nyc.gov/DS/DocumentSearch/DocumentDetail?doc_id=2017052300436001" target="_blank"&gt;Verified by Public Record&lt;/a&gt;</t>
  </si>
  <si>
    <t>&lt;a href="http://a836-acris.nyc.gov/DS/DocumentSearch/DocumentDetail?doc_id=2018020900020001" target="_blank"&gt;Verified by Public Record&lt;/a&gt;</t>
  </si>
  <si>
    <t>&lt;a href="http://a836-acris.nyc.gov/DS/DocumentSearch/DocumentDetail?doc_id=2018050101170001" target="_blank"&gt;Verified by Public Record&lt;/a&gt;</t>
  </si>
  <si>
    <t>&lt;a href="http://a836-acris.nyc.gov/DS/DocumentSearch/DocumentDetail?doc_id=2020032500288002" target="_blank"&gt;Verified by Public Record&lt;/a&gt;</t>
  </si>
  <si>
    <t>&lt;a href="http://a836-acris.nyc.gov/DS/DocumentSearch/DocumentDetail?doc_id=2021072600409001" target="_blank"&gt;Verified by Public Record&lt;/a&gt;</t>
  </si>
  <si>
    <t>&lt;a href="http://a836-acris.nyc.gov/DS/DocumentSearch/DocumentDetail?doc_id=2017050100847001" target="_blank"&gt;Verified by Public Record&lt;/a&gt;</t>
  </si>
  <si>
    <t>&lt;a href="http://a836-acris.nyc.gov/DS/DocumentSearch/DocumentDetail?doc_id=2019052800585001" target="_blank"&gt;Verified by Public Record&lt;/a&gt;</t>
  </si>
  <si>
    <t>&lt;a href="http://a836-acris.nyc.gov/DS/DocumentSearch/DocumentDetail?doc_id=2017060501267001" target="_blank"&gt;Verified by Public Record&lt;/a&gt;</t>
  </si>
  <si>
    <t>&lt;a href="http://a836-acris.nyc.gov/DS/DocumentSearch/DocumentDetail?doc_id=2017121901254002" target="_blank"&gt;Verified by Public Record&lt;/a&gt;</t>
  </si>
  <si>
    <t>&lt;a href="http://a836-acris.nyc.gov/DS/DocumentSearch/DocumentDetail?doc_id=2018021301107001" target="_blank"&gt;Verified by Public Record&lt;/a&gt;</t>
  </si>
  <si>
    <t>&lt;a href="http://a836-acris.nyc.gov/DS/DocumentSearch/DocumentDetail?doc_id=2017090800417001" target="_blank"&gt;Verified by Public Record&lt;/a&gt;</t>
  </si>
  <si>
    <t>&lt;a href="http://a836-acris.nyc.gov/DS/DocumentSearch/DocumentDetail?doc_id=2016092600292002" target="_blank"&gt;Verified by Public Record&lt;/a&gt;</t>
  </si>
  <si>
    <t>&lt;a href="http://a836-acris.nyc.gov/DS/DocumentSearch/DocumentDetail?doc_id=2017062700799001" target="_blank"&gt;Verified by Public Record&lt;/a&gt;</t>
  </si>
  <si>
    <t>&lt;a href="http://a836-acris.nyc.gov/DS/DocumentSearch/DocumentDetail?doc_id=2016041901272001" target="_blank"&gt;Verified by Public Record&lt;/a&gt;</t>
  </si>
  <si>
    <t>&lt;a href="http://a836-acris.nyc.gov/DS/DocumentSearch/DocumentDetail?doc_id=2021032200637001" target="_blank"&gt;Verified by Public Record&lt;/a&gt;</t>
  </si>
  <si>
    <t>&lt;a href="http://a836-acris.nyc.gov/DS/DocumentSearch/DocumentDetail?doc_id=2017090101122001" target="_blank"&gt;Verified by Public Record&lt;/a&gt;</t>
  </si>
  <si>
    <t>Private Wrap Around Terrace
Common Roof Deck
Common Outdoor Space</t>
  </si>
  <si>
    <t>&lt;a href="http://a836-acris.nyc.gov/DS/DocumentSearch/DocumentDetail?doc_id=2021062401373001" target="_blank"&gt;Verified by Public Record&lt;/a&gt;</t>
  </si>
  <si>
    <t>&lt;a href="http://a836-acris.nyc.gov/DS/DocumentSearch/DocumentDetail?doc_id=2017081500684002" target="_blank"&gt;Verified by Public Record&lt;/a&gt;</t>
  </si>
  <si>
    <t>Private Roof Deck
Deck
Common Roof Deck</t>
  </si>
  <si>
    <t>&lt;a href="http://a836-acris.nyc.gov/DS/DocumentSearch/DocumentDetail?doc_id=2017081001408001" target="_blank"&gt;Verified by Public Record&lt;/a&gt;</t>
  </si>
  <si>
    <t>&lt;a href="http://a836-acris.nyc.gov/DS/DocumentSearch/DocumentDetail?doc_id=2020020501352007" target="_blank"&gt;Verified by Public Record&lt;/a&gt;</t>
  </si>
  <si>
    <t>&lt;a href="http://a836-acris.nyc.gov/DS/DocumentSearch/DocumentDetail?doc_id=2019122601158001" target="_blank"&gt;Verified by Public Record&lt;/a&gt;</t>
  </si>
  <si>
    <t>&lt;a href="http://a836-acris.nyc.gov/DS/DocumentSearch/DocumentDetail?doc_id=2017080800812001" target="_blank"&gt;Verified by Public Record&lt;/a&gt;</t>
  </si>
  <si>
    <t>&lt;a href="http://a836-acris.nyc.gov/DS/DocumentSearch/DocumentDetail?doc_id=2019042400254001" target="_blank"&gt;Verified by Public Record&lt;/a&gt;</t>
  </si>
  <si>
    <t>&lt;a href="http://a836-acris.nyc.gov/DS/DocumentSearch/DocumentDetail?doc_id=2021063000720001" target="_blank"&gt;Verified by Public Record&lt;/a&gt;</t>
  </si>
  <si>
    <t>&lt;a href="http://a836-acris.nyc.gov/DS/DocumentSearch/DocumentDetail?doc_id=2015122200257001" target="_blank"&gt;Public Record Only&lt;/a&gt;</t>
  </si>
  <si>
    <t>&lt;a href="http://a836-acris.nyc.gov/DS/DocumentSearch/DocumentDetail?doc_id=2016020500651001" target="_blank"&gt;Public Record Only&lt;/a&gt;</t>
  </si>
  <si>
    <t>&lt;a href="http://a836-acris.nyc.gov/DS/DocumentSearch/DocumentDetail?doc_id=2021040200038005" target="_blank"&gt;Verified by Public Record&lt;/a&gt;</t>
  </si>
  <si>
    <t>Deck
Common Roof Deck
Common Outdoor Space
Private Outdoor Space</t>
  </si>
  <si>
    <t>&lt;a href="http://a836-acris.nyc.gov/DS/DocumentSearch/DocumentDetail?doc_id=2019062400089001" target="_blank"&gt;Verified by Public Record&lt;/a&gt;</t>
  </si>
  <si>
    <t>&lt;a href="http://a836-acris.nyc.gov/DS/DocumentSearch/DocumentDetail?doc_id=2019061101132005" target="_blank"&gt;Verified by Public Record&lt;/a&gt;</t>
  </si>
  <si>
    <t>&lt;a href="http://a836-acris.nyc.gov/DS/DocumentSearch/DocumentDetail?doc_id=2019061000949001" target="_blank"&gt;Verified by Public Record&lt;/a&gt;</t>
  </si>
  <si>
    <t>&lt;a href="http://a836-acris.nyc.gov/DS/DocumentSearch/DocumentDetail?doc_id=2017060901304001" target="_blank"&gt;Verified by Public Record&lt;/a&gt;</t>
  </si>
  <si>
    <t>&lt;a href="http://a836-acris.nyc.gov/DS/DocumentSearch/DocumentDetail?doc_id=2017052000052001" target="_blank"&gt;Verified by Public Record&lt;/a&gt;</t>
  </si>
  <si>
    <t>&lt;a href="http://a836-acris.nyc.gov/DS/DocumentSearch/DocumentDetail?doc_id=2019091300826001" target="_blank"&gt;Verified by Public Record&lt;/a&gt;</t>
  </si>
  <si>
    <t>&lt;a href="http://a836-acris.nyc.gov/DS/DocumentSearch/DocumentDetail?doc_id=2019042500845002" target="_blank"&gt;Verified by Public Record&lt;/a&gt;</t>
  </si>
  <si>
    <t>&lt;a href="http://a836-acris.nyc.gov/DS/DocumentSearch/DocumentDetail?doc_id=2019061200100001" target="_blank"&gt;Verified by Public Record&lt;/a&gt;</t>
  </si>
  <si>
    <t>&lt;a href="http://a836-acris.nyc.gov/DS/DocumentSearch/DocumentDetail?doc_id=2019111900845001" target="_blank"&gt;Verified by Public Record&lt;/a&gt;</t>
  </si>
  <si>
    <t>&lt;a href="http://a836-acris.nyc.gov/DS/DocumentSearch/DocumentDetail?doc_id=2019121900922001" target="_blank"&gt;Verified by Public Record&lt;/a&gt;</t>
  </si>
  <si>
    <t>&lt;a href="http://a836-acris.nyc.gov/DS/DocumentSearch/DocumentDetail?doc_id=2020010600841002" target="_blank"&gt;Verified by Public Record&lt;/a&gt;</t>
  </si>
  <si>
    <t>&lt;a href="http://a836-acris.nyc.gov/DS/DocumentSearch/DocumentDetail?doc_id=2020050500323001" target="_blank"&gt;Verified by Public Record&lt;/a&gt;</t>
  </si>
  <si>
    <t>&lt;a href="http://a836-acris.nyc.gov/DS/DocumentSearch/DocumentDetail?doc_id=2020033000258002" target="_blank"&gt;Verified by Public Record&lt;/a&gt;</t>
  </si>
  <si>
    <t>&lt;a href="http://a836-acris.nyc.gov/DS/DocumentSearch/DocumentDetail?doc_id=2020042700188001" target="_blank"&gt;Verified by Public Record&lt;/a&gt;</t>
  </si>
  <si>
    <t>&lt;a href="http://a836-acris.nyc.gov/DS/DocumentSearch/DocumentDetail?doc_id=2015020601165001" target="_blank"&gt;Verified by Public Record&lt;/a&gt;</t>
  </si>
  <si>
    <t>&lt;a href="http://a836-acris.nyc.gov/DS/DocumentSearch/DocumentDetail?doc_id=2021010701418001" target="_blank"&gt;Verified by Public Record&lt;/a&gt;</t>
  </si>
  <si>
    <t>&lt;a href="http://a836-acris.nyc.gov/DS/DocumentSearch/DocumentDetail?doc_id=2019071100101001" target="_blank"&gt;Verified by Public Record&lt;/a&gt;</t>
  </si>
  <si>
    <t>&lt;a href="http://a836-acris.nyc.gov/DS/DocumentSearch/DocumentDetail?doc_id=2019091700658001" target="_blank"&gt;Verified by Public Record&lt;/a&gt;</t>
  </si>
  <si>
    <t>&lt;a href="http://a836-acris.nyc.gov/DS/DocumentSearch/DocumentDetail?doc_id=2019061300247001" target="_blank"&gt;Verified by Public Record&lt;/a&gt;</t>
  </si>
  <si>
    <t>&lt;a href="http://a836-acris.nyc.gov/DS/DocumentSearch/DocumentDetail?doc_id=2019060800021002" target="_blank"&gt;Verified by Public Record&lt;/a&gt;</t>
  </si>
  <si>
    <t>&lt;a href="http://a836-acris.nyc.gov/DS/DocumentSearch/DocumentDetail?doc_id=2019071200084003" target="_blank"&gt;Verified by Public Record&lt;/a&gt;</t>
  </si>
  <si>
    <t>&lt;a href="http://a836-acris.nyc.gov/DS/DocumentSearch/DocumentDetail?doc_id=2017031300681001" target="_blank"&gt;Verified by Public Record&lt;/a&gt;</t>
  </si>
  <si>
    <t>&lt;a href="http://a836-acris.nyc.gov/DS/DocumentSearch/DocumentDetail?doc_id=2019051600074002" target="_blank"&gt;Verified by Public Record&lt;/a&gt;</t>
  </si>
  <si>
    <t>&lt;a href="http://a836-acris.nyc.gov/DS/DocumentSearch/DocumentDetail?doc_id=2019122400292002" target="_blank"&gt;Verified by Public Record&lt;/a&gt;</t>
  </si>
  <si>
    <t>&lt;a href="http://a836-acris.nyc.gov/DS/DocumentSearch/DocumentDetail?doc_id=2021051401138001" target="_blank"&gt;Verified by Public Record&lt;/a&gt;</t>
  </si>
  <si>
    <t>&lt;a href="http://a836-acris.nyc.gov/DS/DocumentSearch/DocumentDetail?doc_id=2021060400622002" target="_blank"&gt;Verified by Public Record&lt;/a&gt;</t>
  </si>
  <si>
    <t>&lt;a href="http://a836-acris.nyc.gov/DS/DocumentSearch/DocumentDetail?doc_id=2021032200944004" target="_blank"&gt;Verified by Public Record&lt;/a&gt;</t>
  </si>
  <si>
    <t>&lt;a href="http://a836-acris.nyc.gov/DS/DocumentSearch/DocumentDetail?doc_id=2021042300675002" target="_blank"&gt;Verified by Public Record&lt;/a&gt;</t>
  </si>
  <si>
    <t>&lt;a href="http://a836-acris.nyc.gov/DS/DocumentSearch/DocumentDetail?doc_id=2017030101394001" target="_blank"&gt;Verified by Public Record&lt;/a&gt;</t>
  </si>
  <si>
    <t>&lt;a href="http://a836-acris.nyc.gov/DS/DocumentSearch/DocumentDetail?doc_id=2021072000634001" target="_blank"&gt;Verified by Public Record&lt;/a&gt;</t>
  </si>
  <si>
    <t>&lt;a href="http://a836-acris.nyc.gov/DS/DocumentSearch/DocumentDetail?doc_id=2019061801358001" target="_blank"&gt;Verified by Public Record&lt;/a&gt;</t>
  </si>
  <si>
    <t>&lt;a href="http://a836-acris.nyc.gov/DS/DocumentSearch/DocumentDetail?doc_id=2019090500602002" target="_blank"&gt;Verified by Public Record&lt;/a&gt;</t>
  </si>
  <si>
    <t>Balcony
Private Terrace
Roof Deck
Common Outdoor Space</t>
  </si>
  <si>
    <t>&lt;a href="http://a836-acris.nyc.gov/DS/DocumentSearch/DocumentDetail?doc_id=2019061200725002" target="_blank"&gt;Verified by Public Record&lt;/a&gt;</t>
  </si>
  <si>
    <t>&lt;a href="http://a836-acris.nyc.gov/DS/DocumentSearch/DocumentDetail?doc_id=2019081000001001" target="_blank"&gt;Verified by Public Record&lt;/a&gt;</t>
  </si>
  <si>
    <t>&lt;a href="http://a836-acris.nyc.gov/DS/DocumentSearch/DocumentDetail?doc_id=2019121901269001" target="_blank"&gt;Verified by Public Record&lt;/a&gt;</t>
  </si>
  <si>
    <t>&lt;a href="http://a836-acris.nyc.gov/DS/DocumentSearch/DocumentDetail?doc_id=2019123100194001" target="_blank"&gt;Verified by Public Record&lt;/a&gt;</t>
  </si>
  <si>
    <t>&lt;a href="http://a836-acris.nyc.gov/DS/DocumentSearch/DocumentDetail?doc_id=2019122600870003" target="_blank"&gt;Verified by Public Record&lt;/a&gt;</t>
  </si>
  <si>
    <t>&lt;a href="http://a836-acris.nyc.gov/DS/DocumentSearch/DocumentDetail?doc_id=2015020400108001" target="_blank"&gt;Verified by Public Record&lt;/a&gt;</t>
  </si>
  <si>
    <t>&lt;a href="http://a836-acris.nyc.gov/DS/DocumentSearch/DocumentDetail?doc_id=2017031600902001" target="_blank"&gt;Verified by Public Record&lt;/a&gt;</t>
  </si>
  <si>
    <t>&lt;a href="http://a836-acris.nyc.gov/DS/DocumentSearch/DocumentDetail?doc_id=2019061600008001" target="_blank"&gt;Verified by Public Record&lt;/a&gt;</t>
  </si>
  <si>
    <t>&lt;a href="http://a836-acris.nyc.gov/DS/DocumentSearch/DocumentDetail?doc_id=2019062000497001" target="_blank"&gt;Verified by Public Record&lt;/a&gt;</t>
  </si>
  <si>
    <t>&lt;a href="http://a836-acris.nyc.gov/DS/DocumentSearch/DocumentDetail?doc_id=2016072901150001" target="_blank"&gt;Verified by Public Record&lt;/a&gt;</t>
  </si>
  <si>
    <t>&lt;a href="http://a836-acris.nyc.gov/DS/DocumentSearch/DocumentDetail?doc_id=2016011400515001" target="_blank"&gt;Verified by Public Record&lt;/a&gt;</t>
  </si>
  <si>
    <t>&lt;a href="http://a836-acris.nyc.gov/DS/DocumentSearch/DocumentDetail?doc_id=2019120200206005" target="_blank"&gt;Verified by Public Record&lt;/a&gt;</t>
  </si>
  <si>
    <t>Private Terrace
Roof Deck
Common Outdoor Space
Private Outdoor Space</t>
  </si>
  <si>
    <t>&lt;a href="http://a836-acris.nyc.gov/DS/DocumentSearch/DocumentDetail?doc_id=2019101501488004" target="_blank"&gt;Verified by Public Record&lt;/a&gt;</t>
  </si>
  <si>
    <t>&lt;a href="http://a836-acris.nyc.gov/DS/DocumentSearch/DocumentDetail?doc_id=2020010300239001" target="_blank"&gt;Verified by Public Record&lt;/a&gt;</t>
  </si>
  <si>
    <t>&lt;a href="http://a836-acris.nyc.gov/DS/DocumentSearch/DocumentDetail?doc_id=2021022301292002" target="_blank"&gt;Verified by Public Record&lt;/a&gt;</t>
  </si>
  <si>
    <t>&lt;a href="http://a836-acris.nyc.gov/DS/DocumentSearch/DocumentDetail?doc_id=2019061800791003" target="_blank"&gt;Verified by Public Record&lt;/a&gt;</t>
  </si>
  <si>
    <t>&lt;a href="http://a836-acris.nyc.gov/DS/DocumentSearch/DocumentDetail?doc_id=2021080200847004" target="_blank"&gt;Verified by Public Record&lt;/a&gt;</t>
  </si>
  <si>
    <t>&lt;a href="http://a836-acris.nyc.gov/DS/DocumentSearch/DocumentDetail?doc_id=2021012200389002" target="_blank"&gt;Verified by Public Record&lt;/a&gt;</t>
  </si>
  <si>
    <t>&lt;a href="http://a836-acris.nyc.gov/DS/DocumentSearch/DocumentDetail?doc_id=2017060200640001" target="_blank"&gt;Public Record Only&lt;/a&gt;</t>
  </si>
  <si>
    <t>&lt;a href="http://a836-acris.nyc.gov/DS/DocumentSearch/DocumentDetail?doc_id=2017030200901001" target="_blank"&gt;Verified by Public Record&lt;/a&gt;</t>
  </si>
  <si>
    <t>&lt;a href="http://a836-acris.nyc.gov/DS/DocumentSearch/DocumentDetail?doc_id=2018022001572001" target="_blank"&gt;Verified by Public Record&lt;/a&gt;</t>
  </si>
  <si>
    <t>&lt;a href="http://a836-acris.nyc.gov/DS/DocumentSearch/DocumentDetail?doc_id=2019052000952001" target="_blank"&gt;Verified by Public Record&lt;/a&gt;</t>
  </si>
  <si>
    <t>&lt;a href="http://a836-acris.nyc.gov/DS/DocumentSearch/DocumentDetail?doc_id=2018020900238001" target="_blank"&gt;Verified by Public Record&lt;/a&gt;</t>
  </si>
  <si>
    <t>&lt;a href="http://a836-acris.nyc.gov/DS/DocumentSearch/DocumentDetail?doc_id=2019071900378001" target="_blank"&gt;Verified by Public Record&lt;/a&gt;</t>
  </si>
  <si>
    <t>&lt;a href="http://a836-acris.nyc.gov/DS/DocumentSearch/DocumentDetail?doc_id=2019052300774001" target="_blank"&gt;Verified by Public Record&lt;/a&gt;</t>
  </si>
  <si>
    <t>&lt;a href="http://a836-acris.nyc.gov/DS/DocumentSearch/DocumentDetail?doc_id=2017122800839003" target="_blank"&gt;Verified by Public Record&lt;/a&gt;</t>
  </si>
  <si>
    <t>Common Roof Deck
Playground
Private Outdoor Space</t>
  </si>
  <si>
    <t>&lt;a href="http://a836-acris.nyc.gov/DS/DocumentSearch/DocumentDetail?doc_id=2021041200492001" target="_blank"&gt;Verified by Public Record&lt;/a&gt;</t>
  </si>
  <si>
    <t>&lt;a href="http://a836-acris.nyc.gov/DS/DocumentSearch/DocumentDetail?doc_id=2021060101454001" target="_blank"&gt;Verified by Public Record&lt;/a&gt;</t>
  </si>
  <si>
    <t>&lt;a href="http://a836-acris.nyc.gov/DS/DocumentSearch/DocumentDetail?doc_id=2021081000194002" target="_blank"&gt;Verified by Public Record&lt;/a&gt;</t>
  </si>
  <si>
    <t>&lt;a href="http://a836-acris.nyc.gov/DS/DocumentSearch/DocumentDetail?doc_id=2021040600934001" target="_blank"&gt;Verified by Public Record&lt;/a&gt;</t>
  </si>
  <si>
    <t>&lt;a href="http://a836-acris.nyc.gov/DS/DocumentSearch/DocumentDetail?doc_id=2021041401255001" target="_blank"&gt;Verified by Public Record&lt;/a&gt;</t>
  </si>
  <si>
    <t>&lt;a href="http://a836-acris.nyc.gov/DS/DocumentSearch/DocumentDetail?doc_id=2021041500993001" target="_blank"&gt;Verified by Public Record&lt;/a&gt;</t>
  </si>
  <si>
    <t>&lt;a href="http://a836-acris.nyc.gov/DS/DocumentSearch/DocumentDetail?doc_id=2019070100565002" target="_blank"&gt;Verified by Public Record&lt;/a&gt;</t>
  </si>
  <si>
    <t>&lt;a href="http://a836-acris.nyc.gov/DS/DocumentSearch/DocumentDetail?doc_id=2019061301120001" target="_blank"&gt;Verified by Public Record&lt;/a&gt;</t>
  </si>
  <si>
    <t>&lt;a href="http://a836-acris.nyc.gov/DS/DocumentSearch/DocumentDetail?doc_id=2019080101152001" target="_blank"&gt;Verified by Public Record&lt;/a&gt;</t>
  </si>
  <si>
    <t>&lt;a href="http://a836-acris.nyc.gov/DS/DocumentSearch/DocumentDetail?doc_id=2019070500704002" target="_blank"&gt;Verified by Public Record&lt;/a&gt;</t>
  </si>
  <si>
    <t>&lt;a href="http://a836-acris.nyc.gov/DS/DocumentSearch/DocumentDetail?doc_id=2019071100962003" target="_blank"&gt;Verified by Public Record&lt;/a&gt;</t>
  </si>
  <si>
    <t>&lt;a href="http://a836-acris.nyc.gov/DS/DocumentSearch/DocumentDetail?doc_id=2019110600520001" target="_blank"&gt;Verified by Public Record&lt;/a&gt;</t>
  </si>
  <si>
    <t>&lt;a href="http://a836-acris.nyc.gov/DS/DocumentSearch/DocumentDetail?doc_id=2019071600939001" target="_blank"&gt;Verified by Public Record&lt;/a&gt;</t>
  </si>
  <si>
    <t>&lt;a href="http://a836-acris.nyc.gov/DS/DocumentSearch/DocumentDetail?doc_id=2019061700855001" target="_blank"&gt;Verified by Public Record&lt;/a&gt;</t>
  </si>
  <si>
    <t>&lt;a href="http://a836-acris.nyc.gov/DS/DocumentSearch/DocumentDetail?doc_id=2019030400640003" target="_blank"&gt;Verified by Public Record&lt;/a&gt;</t>
  </si>
  <si>
    <t>&lt;a href="http://a836-acris.nyc.gov/DS/DocumentSearch/DocumentDetail?doc_id=2019022801006001" target="_blank"&gt;Verified by Public Record&lt;/a&gt;</t>
  </si>
  <si>
    <t>&lt;a href="http://a836-acris.nyc.gov/DS/DocumentSearch/DocumentDetail?doc_id=2017073100162001" target="_blank"&gt;Verified by Public Record&lt;/a&gt;</t>
  </si>
  <si>
    <t>&lt;a href="http://a836-acris.nyc.gov/DS/DocumentSearch/DocumentDetail?doc_id=2019052200902001" target="_blank"&gt;Verified by Public Record&lt;/a&gt;</t>
  </si>
  <si>
    <t>&lt;a href="http://a836-acris.nyc.gov/DS/DocumentSearch/DocumentDetail?doc_id=2019122000713001" target="_blank"&gt;Verified by Public Record&lt;/a&gt;</t>
  </si>
  <si>
    <t>&lt;a href="http://a836-acris.nyc.gov/DS/DocumentSearch/DocumentDetail?doc_id=2018112100205002" target="_blank"&gt;Verified by Public Record&lt;/a&gt;</t>
  </si>
  <si>
    <t>&lt;a href="http://a836-acris.nyc.gov/DS/DocumentSearch/DocumentDetail?doc_id=2018110500189002" target="_blank"&gt;Verified by Public Record&lt;/a&gt;</t>
  </si>
  <si>
    <t>&lt;a href="http://a836-acris.nyc.gov/DS/DocumentSearch/DocumentDetail?doc_id=2021012901246001" target="_blank"&gt;Verified by Public Record&lt;/a&gt;</t>
  </si>
  <si>
    <t>&lt;a href="http://a836-acris.nyc.gov/DS/DocumentSearch/DocumentDetail?doc_id=2018020800758001" target="_blank"&gt;Verified by Public Record&lt;/a&gt;</t>
  </si>
  <si>
    <t>&lt;a href="http://a836-acris.nyc.gov/DS/DocumentSearch/DocumentDetail?doc_id=2017021401088001" target="_blank"&gt;Verified by Public Record&lt;/a&gt;</t>
  </si>
  <si>
    <t>&lt;a href="http://a836-acris.nyc.gov/DS/DocumentSearch/DocumentDetail?doc_id=2017111500314001" target="_blank"&gt;Verified by Public Record&lt;/a&gt;</t>
  </si>
  <si>
    <t>&lt;a href="http://a836-acris.nyc.gov/DS/DocumentSearch/DocumentDetail?doc_id=2020040300673002" target="_blank"&gt;Verified by Public Record&lt;/a&gt;</t>
  </si>
  <si>
    <t>&lt;a href="http://a836-acris.nyc.gov/DS/DocumentSearch/DocumentDetail?doc_id=2021051000743001" target="_blank"&gt;Verified by Public Record&lt;/a&gt;</t>
  </si>
  <si>
    <t>&lt;a href="http://a836-acris.nyc.gov/DS/DocumentSearch/DocumentDetail?doc_id=2017011801428001" target="_blank"&gt;Public Record Only&lt;/a&gt;</t>
  </si>
  <si>
    <t>&lt;a href="http://a836-acris.nyc.gov/DS/DocumentSearch/DocumentDetail?doc_id=2017121900643001" target="_blank"&gt;Public Record Only&lt;/a&gt;</t>
  </si>
  <si>
    <t>&lt;a href="http://a836-acris.nyc.gov/DS/DocumentSearch/DocumentDetail?doc_id=2017030101397001" target="_blank"&gt;Verified by Public Record&lt;/a&gt;</t>
  </si>
  <si>
    <t>&lt;a href="http://a836-acris.nyc.gov/DS/DocumentSearch/DocumentDetail?doc_id=2017041000874001" target="_blank"&gt;Verified by Public Record&lt;/a&gt;</t>
  </si>
  <si>
    <t>Rental/Condo</t>
  </si>
  <si>
    <t>&lt;a href="http://a836-acris.nyc.gov/DS/DocumentSearch/DocumentDetail?doc_id=2019051701023002" target="_blank"&gt;Verified by Public Record&lt;/a&gt;</t>
  </si>
  <si>
    <t>&lt;a href="http://a836-acris.nyc.gov/DS/DocumentSearch/DocumentDetail?doc_id=2019080900508001" target="_blank"&gt;Verified by Public Record&lt;/a&gt;</t>
  </si>
  <si>
    <t>&lt;a href="http://a836-acris.nyc.gov/DS/DocumentSearch/DocumentDetail?doc_id=2018112601144001" target="_blank"&gt;Public Record Only&lt;/a&gt;</t>
  </si>
  <si>
    <t>&lt;a href="http://a836-acris.nyc.gov/DS/DocumentSearch/DocumentDetail?doc_id=2018112100612001" target="_blank"&gt;Public Record Only&lt;/a&gt;</t>
  </si>
  <si>
    <t>&lt;a href="http://a836-acris.nyc.gov/DS/DocumentSearch/DocumentDetail?doc_id=2020082100481001" target="_blank"&gt;Public Record Only&lt;/a&gt;</t>
  </si>
  <si>
    <t>&lt;a href="http://a836-acris.nyc.gov/DS/DocumentSearch/DocumentDetail?doc_id=2017091501107001" target="_blank"&gt;Verified by Public Record&lt;/a&gt;</t>
  </si>
  <si>
    <t>&lt;a href="http://a836-acris.nyc.gov/DS/DocumentSearch/DocumentDetail?doc_id=2019061900697001" target="_blank"&gt;Verified by Public Record&lt;/a&gt;</t>
  </si>
  <si>
    <t>&lt;a href="http://a836-acris.nyc.gov/DS/DocumentSearch/DocumentDetail?doc_id=2017090700074001" target="_blank"&gt;Verified by Public Record&lt;/a&gt;</t>
  </si>
  <si>
    <t>&lt;a href="http://a836-acris.nyc.gov/DS/DocumentSearch/DocumentDetail?doc_id=2017030201527001" target="_blank"&gt;Verified by Public Record&lt;/a&gt;</t>
  </si>
  <si>
    <t>&lt;a href="http://a836-acris.nyc.gov/DS/DocumentSearch/DocumentDetail?doc_id=2019120300408001" target="_blank"&gt;Verified by Public Record&lt;/a&gt;</t>
  </si>
  <si>
    <t>&lt;a href="http://a836-acris.nyc.gov/DS/DocumentSearch/DocumentDetail?doc_id=2018073000409005" target="_blank"&gt;Verified by Public Record&lt;/a&gt;</t>
  </si>
  <si>
    <t>&lt;a href="http://a836-acris.nyc.gov/DS/DocumentSearch/DocumentDetail?doc_id=2018020701195003" target="_blank"&gt;Verified by Public Record&lt;/a&gt;</t>
  </si>
  <si>
    <t>&lt;a href="http://a836-acris.nyc.gov/DS/DocumentSearch/DocumentDetail?doc_id=2017062200939001" target="_blank"&gt;Verified by Public Record&lt;/a&gt;</t>
  </si>
  <si>
    <t>&lt;a href="http://a836-acris.nyc.gov/DS/DocumentSearch/DocumentDetail?doc_id=2017071301314002" target="_blank"&gt;Verified by Public Record&lt;/a&gt;</t>
  </si>
  <si>
    <t>&lt;a href="http://a836-acris.nyc.gov/DS/DocumentSearch/DocumentDetail?doc_id=2017022301011001" target="_blank"&gt;Verified by Public Record&lt;/a&gt;</t>
  </si>
  <si>
    <t>&lt;a href="http://a836-acris.nyc.gov/DS/DocumentSearch/DocumentDetail?doc_id=2017081800425003" target="_blank"&gt;Verified by Public Record&lt;/a&gt;</t>
  </si>
  <si>
    <t>&lt;a href="http://a836-acris.nyc.gov/DS/DocumentSearch/DocumentDetail?doc_id=2017041900632001" target="_blank"&gt;Verified by Public Record&lt;/a&gt;</t>
  </si>
  <si>
    <t>&lt;a href="http://a836-acris.nyc.gov/DS/DocumentSearch/DocumentDetail?doc_id=2017041301174001" target="_blank"&gt;Verified by Public Record&lt;/a&gt;</t>
  </si>
  <si>
    <t>&lt;a href="http://a836-acris.nyc.gov/DS/DocumentSearch/DocumentDetail?doc_id=2017122000630001" target="_blank"&gt;Verified by Public Record&lt;/a&gt;</t>
  </si>
  <si>
    <t>&lt;a href="http://a836-acris.nyc.gov/DS/DocumentSearch/DocumentDetail?doc_id=2019121800363001" target="_blank"&gt;Verified by Public Record&lt;/a&gt;</t>
  </si>
  <si>
    <t>&lt;a href="http://a836-acris.nyc.gov/DS/DocumentSearch/DocumentDetail?doc_id=2017053001101001" target="_blank"&gt;Public Record Only&lt;/a&gt;</t>
  </si>
  <si>
    <t>&lt;a href="http://a836-acris.nyc.gov/DS/DocumentSearch/DocumentDetail?doc_id=2021072000650001" target="_blank"&gt;Public Record Only&lt;/a&gt;</t>
  </si>
  <si>
    <t>&lt;a href="http://a836-acris.nyc.gov/DS/DocumentSearch/DocumentDetail?doc_id=2019051500289001" target="_blank"&gt;Public Record Only&lt;/a&gt;</t>
  </si>
  <si>
    <t>&lt;a href="http://a836-acris.nyc.gov/DS/DocumentSearch/DocumentDetail?doc_id=2019051700611001" target="_blank"&gt;Verified by Public Record&lt;/a&gt;</t>
  </si>
  <si>
    <t>&lt;a href="http://a836-acris.nyc.gov/DS/DocumentSearch/DocumentDetail?doc_id=2019051401147001" target="_blank"&gt;Verified by Public Record&lt;/a&gt;</t>
  </si>
  <si>
    <t>&lt;a href="http://a836-acris.nyc.gov/DS/DocumentSearch/DocumentDetail?doc_id=2019122300872003" target="_blank"&gt;Verified by Public Record&lt;/a&gt;</t>
  </si>
  <si>
    <t>&lt;a href="http://a836-acris.nyc.gov/DS/DocumentSearch/DocumentDetail?doc_id=2019052200289001" target="_blank"&gt;Verified by Public Record&lt;/a&gt;</t>
  </si>
  <si>
    <t>&lt;a href="http://a836-acris.nyc.gov/DS/DocumentSearch/DocumentDetail?doc_id=2016120501249001" target="_blank"&gt;Public Record Only&lt;/a&gt;</t>
  </si>
  <si>
    <t>&lt;a href="http://a836-acris.nyc.gov/DS/DocumentSearch/DocumentDetail?doc_id=2018041900906001" target="_blank"&gt;Verified by Public Record&lt;/a&gt;</t>
  </si>
  <si>
    <t>&lt;a href="http://a836-acris.nyc.gov/DS/DocumentSearch/DocumentDetail?doc_id=2021072900700001" target="_blank"&gt;Public Record Only&lt;/a&gt;</t>
  </si>
  <si>
    <t>&lt;a href="http://a836-acris.nyc.gov/DS/DocumentSearch/DocumentDetail?doc_id=2020112401439001" target="_blank"&gt;Verified by Public Record&lt;/a&gt;</t>
  </si>
  <si>
    <t>&lt;a href="http://a836-acris.nyc.gov/DS/DocumentSearch/DocumentDetail?doc_id=2020030600777001" target="_blank"&gt;Verified by Public Record&lt;/a&gt;</t>
  </si>
  <si>
    <t>&lt;a href="http://a836-acris.nyc.gov/DS/DocumentSearch/DocumentDetail?doc_id=2021033101089001" target="_blank"&gt;Verified by Public Record&lt;/a&gt;</t>
  </si>
  <si>
    <t>&lt;a href="http://a836-acris.nyc.gov/DS/DocumentSearch/DocumentDetail?doc_id=2021033100271001" target="_blank"&gt;Verified by Public Record&lt;/a&gt;</t>
  </si>
  <si>
    <t>&lt;a href="http://a836-acris.nyc.gov/DS/DocumentSearch/DocumentDetail?doc_id=2021052800672003" target="_blank"&gt;Verified by Public Record&lt;/a&gt;</t>
  </si>
  <si>
    <t>&lt;a href="http://a836-acris.nyc.gov/DS/DocumentSearch/DocumentDetail?doc_id=2018030800144001" target="_blank"&gt;Verified by Public Record&lt;/a&gt;</t>
  </si>
  <si>
    <t>&lt;a href="http://a836-acris.nyc.gov/DS/DocumentSearch/DocumentDetail?doc_id=2017091200005003" target="_blank"&gt;Verified by Public Record&lt;/a&gt;</t>
  </si>
  <si>
    <t>&lt;a href="http://a836-acris.nyc.gov/DS/DocumentSearch/DocumentDetail?doc_id=2017030701092001" target="_blank"&gt;Verified by Public Record&lt;/a&gt;</t>
  </si>
  <si>
    <t>&lt;a href="http://a836-acris.nyc.gov/DS/DocumentSearch/DocumentDetail?doc_id=2018020900071001" target="_blank"&gt;Verified by Public Record&lt;/a&gt;</t>
  </si>
  <si>
    <t>&lt;a href="http://a836-acris.nyc.gov/DS/DocumentSearch/DocumentDetail?doc_id=2021061000209001" target="_blank"&gt;Verified by Public Record&lt;/a&gt;</t>
  </si>
  <si>
    <t>&lt;a href="http://a836-acris.nyc.gov/DS/DocumentSearch/DocumentDetail?doc_id=2018073000285001" target="_blank"&gt;Verified by Public Record&lt;/a&gt;</t>
  </si>
  <si>
    <t>&lt;a href="http://a836-acris.nyc.gov/DS/DocumentSearch/DocumentDetail?doc_id=2018021400168001" target="_blank"&gt;Verified by Public Record&lt;/a&gt;</t>
  </si>
  <si>
    <t>&lt;a href="http://a836-acris.nyc.gov/DS/DocumentSearch/DocumentDetail?doc_id=2020120701345001" target="_blank"&gt;Verified by Public Record&lt;/a&gt;</t>
  </si>
  <si>
    <t>&lt;a href="http://a836-acris.nyc.gov/DS/DocumentSearch/DocumentDetail?doc_id=2021042300791001" target="_blank"&gt;Verified by Public Record&lt;/a&gt;</t>
  </si>
  <si>
    <t>&lt;a href="http://a836-acris.nyc.gov/DS/DocumentSearch/DocumentDetail?doc_id=2021042201247001" target="_blank"&gt;Verified by Public Record&lt;/a&gt;</t>
  </si>
  <si>
    <t>&lt;a href="http://a836-acris.nyc.gov/DS/DocumentSearch/DocumentDetail?doc_id=2021061000356001" target="_blank"&gt;Verified by Public Record&lt;/a&gt;</t>
  </si>
  <si>
    <t>&lt;a href="http://a836-acris.nyc.gov/DS/DocumentSearch/DocumentDetail?doc_id=2021033100818001" target="_blank"&gt;Verified by Public Record&lt;/a&gt;</t>
  </si>
  <si>
    <t>&lt;a href="http://a836-acris.nyc.gov/DS/DocumentSearch/DocumentDetail?doc_id=2018062700319001" target="_blank"&gt;Verified by Public Record&lt;/a&gt;</t>
  </si>
  <si>
    <t>&lt;a href="http://a836-acris.nyc.gov/DS/DocumentSearch/DocumentDetail?doc_id=2018062000726001" target="_blank"&gt;Verified by Public Record&lt;/a&gt;</t>
  </si>
  <si>
    <t>&lt;a href="http://a836-acris.nyc.gov/DS/DocumentSearch/DocumentDetail?doc_id=2018032000092001" target="_blank"&gt;Verified by Public Record&lt;/a&gt;</t>
  </si>
  <si>
    <t>&lt;a href="http://a836-acris.nyc.gov/DS/DocumentSearch/DocumentDetail?doc_id=2018040200853003" target="_blank"&gt;Verified by Public Record&lt;/a&gt;</t>
  </si>
  <si>
    <t>&lt;a href="http://a836-acris.nyc.gov/DS/DocumentSearch/DocumentDetail?doc_id=2018092500822002" target="_blank"&gt;Verified by Public Record&lt;/a&gt;</t>
  </si>
  <si>
    <t>&lt;a href="http://a836-acris.nyc.gov/DS/DocumentSearch/DocumentDetail?doc_id=2018050400659006" target="_blank"&gt;Verified by Public Record&lt;/a&gt;</t>
  </si>
  <si>
    <t>&lt;a href="http://a836-acris.nyc.gov/DS/DocumentSearch/DocumentDetail?doc_id=2020051900945002" target="_blank"&gt;Verified by Public Record&lt;/a&gt;</t>
  </si>
  <si>
    <t>&lt;a href="http://a836-acris.nyc.gov/DS/DocumentSearch/DocumentDetail?doc_id=2020052200262001" target="_blank"&gt;Verified by Public Record&lt;/a&gt;</t>
  </si>
  <si>
    <t>&lt;a href="http://a836-acris.nyc.gov/DS/DocumentSearch/DocumentDetail?doc_id=2018013100585006" target="_blank"&gt;Verified by Public Record&lt;/a&gt;</t>
  </si>
  <si>
    <t>&lt;a href="http://a836-acris.nyc.gov/DS/DocumentSearch/DocumentDetail?doc_id=2021051901432002" target="_blank"&gt;Verified by Public Record&lt;/a&gt;</t>
  </si>
  <si>
    <t>&lt;a href="http://a836-acris.nyc.gov/DS/DocumentSearch/DocumentDetail?doc_id=2018071301012001" target="_blank"&gt;Verified by Public Record&lt;/a&gt;</t>
  </si>
  <si>
    <t>&lt;a href="http://a836-acris.nyc.gov/DS/DocumentSearch/DocumentDetail?doc_id=2018053101223005" target="_blank"&gt;Verified by Public Record&lt;/a&gt;</t>
  </si>
  <si>
    <t>&lt;a href="http://a836-acris.nyc.gov/DS/DocumentSearch/DocumentDetail?doc_id=2017030200024001" target="_blank"&gt;Verified by Public Record&lt;/a&gt;</t>
  </si>
  <si>
    <t>&lt;a href="http://a836-acris.nyc.gov/DS/DocumentSearch/DocumentDetail?doc_id=2017071000734001" target="_blank"&gt;Verified by Public Record&lt;/a&gt;</t>
  </si>
  <si>
    <t>&lt;a href="http://a836-acris.nyc.gov/DS/DocumentSearch/DocumentDetail?doc_id=2017022800852001" target="_blank"&gt;Verified by Public Record&lt;/a&gt;</t>
  </si>
  <si>
    <t>&lt;a href="http://a836-acris.nyc.gov/DS/DocumentSearch/DocumentDetail?doc_id=2021080201433004" target="_blank"&gt;Verified by Public Record&lt;/a&gt;</t>
  </si>
  <si>
    <t>&lt;a href="http://a836-acris.nyc.gov/DS/DocumentSearch/DocumentDetail?doc_id=2021052801228001" target="_blank"&gt;Verified by Public Record&lt;/a&gt;</t>
  </si>
  <si>
    <t>Private Terrace
Roof Deck
Common Roof Deck
Common Garden
Common Outdoor Space</t>
  </si>
  <si>
    <t>&lt;a href="http://a836-acris.nyc.gov/DS/DocumentSearch/DocumentDetail?doc_id=2019042300291001" target="_blank"&gt;Verified by Public Record&lt;/a&gt;</t>
  </si>
  <si>
    <t>&lt;a href="http://a836-acris.nyc.gov/DS/DocumentSearch/DocumentDetail?doc_id=2019021200637003" target="_blank"&gt;Verified by Public Record&lt;/a&gt;</t>
  </si>
  <si>
    <t>&lt;a href="http://a836-acris.nyc.gov/DS/DocumentSearch/DocumentDetail?doc_id=2021010700677001" target="_blank"&gt;Verified by Public Record&lt;/a&gt;</t>
  </si>
  <si>
    <t>&lt;a href="http://a836-acris.nyc.gov/DS/DocumentSearch/DocumentDetail?doc_id=2019062600684001" target="_blank"&gt;Verified by Public Record&lt;/a&gt;</t>
  </si>
  <si>
    <t>&lt;a href="http://a836-acris.nyc.gov/DS/DocumentSearch/DocumentDetail?doc_id=2018080300043001" target="_blank"&gt;Verified by Public Record&lt;/a&gt;</t>
  </si>
  <si>
    <t>&lt;a href="http://a836-acris.nyc.gov/DS/DocumentSearch/DocumentDetail?doc_id=2018062200262012" target="_blank"&gt;Verified by Public Record&lt;/a&gt;</t>
  </si>
  <si>
    <t>&lt;a href="http://a836-acris.nyc.gov/DS/DocumentSearch/DocumentDetail?doc_id=2018071200326002" target="_blank"&gt;Verified by Public Record&lt;/a&gt;</t>
  </si>
  <si>
    <t>&lt;a href="http://a836-acris.nyc.gov/DS/DocumentSearch/DocumentDetail?doc_id=2018020900117001" target="_blank"&gt;Verified by Public Record&lt;/a&gt;</t>
  </si>
  <si>
    <t>&lt;a href="http://a836-acris.nyc.gov/DS/DocumentSearch/DocumentDetail?doc_id=2019012800057002" target="_blank"&gt;Verified by Public Record&lt;/a&gt;</t>
  </si>
  <si>
    <t>&lt;a href="http://a836-acris.nyc.gov/DS/DocumentSearch/DocumentDetail?doc_id=2019013000577001" target="_blank"&gt;Verified by Public Record&lt;/a&gt;</t>
  </si>
  <si>
    <t>&lt;a href="http://a836-acris.nyc.gov/DS/DocumentSearch/DocumentDetail?doc_id=2019051800031002" target="_blank"&gt;Verified by Public Record&lt;/a&gt;</t>
  </si>
  <si>
    <t>&lt;a href="http://a836-acris.nyc.gov/DS/DocumentSearch/DocumentDetail?doc_id=2018020200787002" target="_blank"&gt;Verified by Public Record&lt;/a&gt;</t>
  </si>
  <si>
    <t>&lt;a href="http://a836-acris.nyc.gov/DS/DocumentSearch/DocumentDetail?doc_id=2018032900173003" target="_blank"&gt;Verified by Public Record&lt;/a&gt;</t>
  </si>
  <si>
    <t>&lt;a href="http://a836-acris.nyc.gov/DS/DocumentSearch/DocumentDetail?doc_id=2018030600135001" target="_blank"&gt;Verified by Public Record&lt;/a&gt;</t>
  </si>
  <si>
    <t>&lt;a href="http://a836-acris.nyc.gov/DS/DocumentSearch/DocumentDetail?doc_id=2018070300446001" target="_blank"&gt;Verified by Public Record&lt;/a&gt;</t>
  </si>
  <si>
    <t>&lt;a href="http://a836-acris.nyc.gov/DS/DocumentSearch/DocumentDetail?doc_id=2018062500541003" target="_blank"&gt;Verified by Public Record&lt;/a&gt;</t>
  </si>
  <si>
    <t>&lt;a href="http://a836-acris.nyc.gov/DS/DocumentSearch/DocumentDetail?doc_id=2019051401192001" target="_blank"&gt;Verified by Public Record&lt;/a&gt;</t>
  </si>
  <si>
    <t>&lt;a href="http://a836-acris.nyc.gov/DS/DocumentSearch/DocumentDetail?doc_id=2019042500141001" target="_blank"&gt;Verified by Public Record&lt;/a&gt;</t>
  </si>
  <si>
    <t>&lt;a href="http://a836-acris.nyc.gov/DS/DocumentSearch/DocumentDetail?doc_id=2021040100601001" target="_blank"&gt;Verified by Public Record&lt;/a&gt;</t>
  </si>
  <si>
    <t>&lt;a href="http://a836-acris.nyc.gov/DS/DocumentSearch/DocumentDetail?doc_id=2018110100446001" target="_blank"&gt;Verified by Public Record&lt;/a&gt;</t>
  </si>
  <si>
    <t>&lt;a href="http://a836-acris.nyc.gov/DS/DocumentSearch/DocumentDetail?doc_id=2018041100258001" target="_blank"&gt;Verified by Public Record&lt;/a&gt;</t>
  </si>
  <si>
    <t>&lt;a href="http://a836-acris.nyc.gov/DS/DocumentSearch/DocumentDetail?doc_id=2018091000574001" target="_blank"&gt;Verified by Public Record&lt;/a&gt;</t>
  </si>
  <si>
    <t>&lt;a href="http://a836-acris.nyc.gov/DS/DocumentSearch/DocumentDetail?doc_id=2019101500763001" target="_blank"&gt;Verified by Public Record&lt;/a&gt;</t>
  </si>
  <si>
    <t>&lt;a href="http://a836-acris.nyc.gov/DS/DocumentSearch/DocumentDetail?doc_id=2019041700413001" target="_blank"&gt;Verified by Public Record&lt;/a&gt;</t>
  </si>
  <si>
    <t>&lt;a href="http://a836-acris.nyc.gov/DS/DocumentSearch/DocumentDetail?doc_id=2020111700937001" target="_blank"&gt;Verified by Public Record&lt;/a&gt;</t>
  </si>
  <si>
    <t>&lt;a href="http://a836-acris.nyc.gov/DS/DocumentSearch/DocumentDetail?doc_id=2018042400850001" target="_blank"&gt;Verified by Public Record&lt;/a&gt;</t>
  </si>
  <si>
    <t>Private Wrap Around Terrace
Private Roof Deck</t>
  </si>
  <si>
    <t>&lt;a href="http://a836-acris.nyc.gov/DS/DocumentSearch/DocumentDetail?doc_id=2021012701328001" target="_blank"&gt;Verified by Public Record&lt;/a&gt;</t>
  </si>
  <si>
    <t>&lt;a href="http://a836-acris.nyc.gov/DS/DocumentSearch/DocumentDetail?doc_id=2020121501365001" target="_blank"&gt;Verified by Public Record&lt;/a&gt;</t>
  </si>
  <si>
    <t>&lt;a href="http://a836-acris.nyc.gov/DS/DocumentSearch/DocumentDetail?doc_id=2020112400275001" target="_blank"&gt;Verified by Public Record&lt;/a&gt;</t>
  </si>
  <si>
    <t>&lt;a href="http://a836-acris.nyc.gov/DS/DocumentSearch/DocumentDetail?doc_id=2021020200638003" target="_blank"&gt;Verified by Public Record&lt;/a&gt;</t>
  </si>
  <si>
    <t>&lt;a href="http://a836-acris.nyc.gov/DS/DocumentSearch/DocumentDetail?doc_id=2020112000897001" target="_blank"&gt;Verified by Public Record&lt;/a&gt;</t>
  </si>
  <si>
    <t>&lt;a href="http://a836-acris.nyc.gov/DS/DocumentSearch/DocumentDetail?doc_id=2019032900874002" target="_blank"&gt;Verified by Public Record&lt;/a&gt;</t>
  </si>
  <si>
    <t>&lt;a href="http://a836-acris.nyc.gov/DS/DocumentSearch/DocumentDetail?doc_id=2019050800466002" target="_blank"&gt;Verified by Public Record&lt;/a&gt;</t>
  </si>
  <si>
    <t>Balcony
Roof Deck
Common Roof Deck
Common Outdoor Space</t>
  </si>
  <si>
    <t>&lt;a href="http://a836-acris.nyc.gov/DS/DocumentSearch/DocumentDetail?doc_id=2019052200506001" target="_blank"&gt;Verified by Public Record&lt;/a&gt;</t>
  </si>
  <si>
    <t>&lt;a href="http://a836-acris.nyc.gov/DS/DocumentSearch/DocumentDetail?doc_id=2019061700402001" target="_blank"&gt;Verified by Public Record&lt;/a&gt;</t>
  </si>
  <si>
    <t>&lt;a href="http://a836-acris.nyc.gov/DS/DocumentSearch/DocumentDetail?doc_id=2019050700061001" target="_blank"&gt;Verified by Public Record&lt;/a&gt;</t>
  </si>
  <si>
    <t>&lt;a href="http://a836-acris.nyc.gov/DS/DocumentSearch/DocumentDetail?doc_id=2021041500385001" target="_blank"&gt;Verified by Public Record&lt;/a&gt;</t>
  </si>
  <si>
    <t>&lt;a href="http://a836-acris.nyc.gov/DS/DocumentSearch/DocumentDetail?doc_id=2019041500939001" target="_blank"&gt;Verified by Public Record&lt;/a&gt;</t>
  </si>
  <si>
    <t>Private Terrace
Deck
Common Outdoor Space
Private Outdoor Space</t>
  </si>
  <si>
    <t>&lt;a href="http://a836-acris.nyc.gov/DS/DocumentSearch/DocumentDetail?doc_id=2020081400123001" target="_blank"&gt;Verified by Public Record&lt;/a&gt;</t>
  </si>
  <si>
    <t>Roof Deck
Common Outdoor Space</t>
  </si>
  <si>
    <t>&lt;a href="http://a836-acris.nyc.gov/DS/DocumentSearch/DocumentDetail?doc_id=2020010300660001" target="_blank"&gt;Verified by Public Record&lt;/a&gt;</t>
  </si>
  <si>
    <t>&lt;a href="http://a836-acris.nyc.gov/DS/DocumentSearch/DocumentDetail?doc_id=2021061401011001" target="_blank"&gt;Verified by Public Record&lt;/a&gt;</t>
  </si>
  <si>
    <t>&lt;a href="http://a836-acris.nyc.gov/DS/DocumentSearch/DocumentDetail?doc_id=2015110200013003" target="_blank"&gt;Verified by Public Record&lt;/a&gt;</t>
  </si>
  <si>
    <t>&lt;a href="http://a836-acris.nyc.gov/DS/DocumentSearch/DocumentDetail?doc_id=2019061000058001" target="_blank"&gt;Verified by Public Record&lt;/a&gt;</t>
  </si>
  <si>
    <t>&lt;a href="http://a836-acris.nyc.gov/DS/DocumentSearch/DocumentDetail?doc_id=2018022100116001" target="_blank"&gt;Verified by Public Record&lt;/a&gt;</t>
  </si>
  <si>
    <t>&lt;a href="http://a836-acris.nyc.gov/DS/DocumentSearch/DocumentDetail?doc_id=2021041300592001" target="_blank"&gt;Verified by Public Record&lt;/a&gt;</t>
  </si>
  <si>
    <t>&lt;a href="http://a836-acris.nyc.gov/DS/DocumentSearch/DocumentDetail?doc_id=2021070901138002" target="_blank"&gt;Verified by Public Record&lt;/a&gt;</t>
  </si>
  <si>
    <t>&lt;a href="http://a836-acris.nyc.gov/DS/DocumentSearch/DocumentDetail?doc_id=2021052100396001" target="_blank"&gt;Verified by Public Record&lt;/a&gt;</t>
  </si>
  <si>
    <t>&lt;a href="http://a836-acris.nyc.gov/DS/DocumentSearch/DocumentDetail?doc_id=2021052801239001" target="_blank"&gt;Verified by Public Record&lt;/a&gt;</t>
  </si>
  <si>
    <t>&lt;a href="http://a836-acris.nyc.gov/DS/DocumentSearch/DocumentDetail?doc_id=2021071301592001" target="_blank"&gt;Verified by Public Record&lt;/a&gt;</t>
  </si>
  <si>
    <t>&lt;a href="http://a836-acris.nyc.gov/DS/DocumentSearch/DocumentDetail?doc_id=2021032401227003" target="_blank"&gt;Verified by Public Record&lt;/a&gt;</t>
  </si>
  <si>
    <t>&lt;a href="http://a836-acris.nyc.gov/DS/DocumentSearch/DocumentDetail?doc_id=2020122300425001" target="_blank"&gt;Verified by Public Record&lt;/a&gt;</t>
  </si>
  <si>
    <t>&lt;a href="http://a836-acris.nyc.gov/DS/DocumentSearch/DocumentDetail?doc_id=2021051100943001" target="_blank"&gt;Verified by Public Record&lt;/a&gt;</t>
  </si>
  <si>
    <t>&lt;a href="http://a836-acris.nyc.gov/DS/DocumentSearch/DocumentDetail?doc_id=2019012300324001" target="_blank"&gt;Verified by Public Record&lt;/a&gt;</t>
  </si>
  <si>
    <t>Deck</t>
  </si>
  <si>
    <t>&lt;a href="http://a836-acris.nyc.gov/DS/DocumentSearch/DocumentDetail?doc_id=2020121800541003" target="_blank"&gt;Verified by Public Record&lt;/a&gt;</t>
  </si>
  <si>
    <t>&lt;a href="http://a836-acris.nyc.gov/DS/DocumentSearch/DocumentDetail?doc_id=2021042000617001" target="_blank"&gt;Verified by Public Record&lt;/a&gt;</t>
  </si>
  <si>
    <t>Balcony
Deck
Roof Deck
Common Roof Deck
Common Outdoor Space
Private Outdoor Space</t>
  </si>
  <si>
    <t>&lt;a href="http://a836-acris.nyc.gov/DS/DocumentSearch/DocumentDetail?doc_id=2014082200119001" target="_blank"&gt;Public Record Only&lt;/a&gt;</t>
  </si>
  <si>
    <t>&lt;a href="http://a836-acris.nyc.gov/DS/DocumentSearch/DocumentDetail?doc_id=2021053000078001" target="_blank"&gt;Verified by Public Record&lt;/a&gt;</t>
  </si>
  <si>
    <t>&lt;a href="http://a836-acris.nyc.gov/DS/DocumentSearch/DocumentDetail?doc_id=2020121501237006" target="_blank"&gt;Verified by Public Record&lt;/a&gt;</t>
  </si>
  <si>
    <t>&lt;a href="http://a836-acris.nyc.gov/DS/DocumentSearch/DocumentDetail?doc_id=2020123100758001" target="_blank"&gt;Verified by Public Record&lt;/a&gt;</t>
  </si>
  <si>
    <t>&lt;a href="http://a836-acris.nyc.gov/DS/DocumentSearch/DocumentDetail?doc_id=2021010500410001" target="_blank"&gt;Verified by Public Record&lt;/a&gt;</t>
  </si>
  <si>
    <t>&lt;a href="http://a836-acris.nyc.gov/DS/DocumentSearch/DocumentDetail?doc_id=2015103000645001" target="_blank"&gt;Verified by Public Record&lt;/a&gt;</t>
  </si>
  <si>
    <t>&lt;a href="http://a836-acris.nyc.gov/DS/DocumentSearch/DocumentDetail?doc_id=2016020100431001" target="_blank"&gt;Verified by Public Record&lt;/a&gt;</t>
  </si>
  <si>
    <t>&lt;a href="http://a836-acris.nyc.gov/DS/DocumentSearch/DocumentDetail?doc_id=2015120700008003" target="_blank"&gt;Verified by Public Record&lt;/a&gt;</t>
  </si>
  <si>
    <t>&lt;a href="http://a836-acris.nyc.gov/DS/DocumentSearch/DocumentDetail?doc_id=2016011100946001" target="_blank"&gt;Verified by Public Record&lt;/a&gt;</t>
  </si>
  <si>
    <t>&lt;a href="http://a836-acris.nyc.gov/DS/DocumentSearch/DocumentDetail?doc_id=2018120700131007" target="_blank"&gt;Verified by Public Record&lt;/a&gt;</t>
  </si>
  <si>
    <t>Balcony
Private Roof Deck
Deck
Roof Deck
Common Roof Deck
Common Outdoor Space
Private Outdoor Space</t>
  </si>
  <si>
    <t>&lt;a href="http://a836-acris.nyc.gov/DS/DocumentSearch/DocumentDetail?doc_id=2017060201218001" target="_blank"&gt;Verified by Public Record&lt;/a&gt;</t>
  </si>
  <si>
    <t>&lt;a href="http://a836-acris.nyc.gov/DS/DocumentSearch/DocumentDetail?doc_id=2021052400892001" target="_blank"&gt;Verified by Public Record&lt;/a&gt;</t>
  </si>
  <si>
    <t>&lt;a href="http://a836-acris.nyc.gov/DS/DocumentSearch/DocumentDetail?doc_id=2020112500594003" target="_blank"&gt;Verified by Public Record&lt;/a&gt;</t>
  </si>
  <si>
    <t>&lt;a href="http://a836-acris.nyc.gov/DS/DocumentSearch/DocumentDetail?doc_id=2019061300104003" target="_blank"&gt;Verified by Public Record&lt;/a&gt;</t>
  </si>
  <si>
    <t>&lt;a href="http://a836-acris.nyc.gov/DS/DocumentSearch/DocumentDetail?doc_id=2019042300252001" target="_blank"&gt;Verified by Public Record&lt;/a&gt;</t>
  </si>
  <si>
    <t>&lt;a href="http://a836-acris.nyc.gov/DS/DocumentSearch/DocumentDetail?doc_id=2020120801248001" target="_blank"&gt;Verified by Public Record&lt;/a&gt;</t>
  </si>
  <si>
    <t>&lt;a href="http://a836-acris.nyc.gov/DS/DocumentSearch/DocumentDetail?doc_id=2020112300769001" target="_blank"&gt;Verified by Public Record&lt;/a&gt;</t>
  </si>
  <si>
    <t>&lt;a href="http://a836-acris.nyc.gov/DS/DocumentSearch/DocumentDetail?doc_id=2020123100425003" target="_blank"&gt;Verified by Public Record&lt;/a&gt;</t>
  </si>
  <si>
    <t>&lt;a href="http://a836-acris.nyc.gov/DS/DocumentSearch/DocumentDetail?doc_id=2021071200209003" target="_blank"&gt;Verified by Public Record&lt;/a&gt;</t>
  </si>
  <si>
    <t>&lt;a href="http://a836-acris.nyc.gov/DS/DocumentSearch/DocumentDetail?doc_id=2015121501107001" target="_blank"&gt;Verified by Public Record&lt;/a&gt;</t>
  </si>
  <si>
    <t>&lt;a href="http://a836-acris.nyc.gov/DS/DocumentSearch/DocumentDetail?doc_id=2015120700360001" target="_blank"&gt;Verified by Public Record&lt;/a&gt;</t>
  </si>
  <si>
    <t>&lt;a href="http://a836-acris.nyc.gov/DS/DocumentSearch/DocumentDetail?doc_id=2020122200987001" target="_blank"&gt;Verified by Public Record&lt;/a&gt;</t>
  </si>
  <si>
    <t>&lt;a href="http://a836-acris.nyc.gov/DS/DocumentSearch/DocumentDetail?doc_id=2019040901242001" target="_blank"&gt;Verified by Public Record&lt;/a&gt;</t>
  </si>
  <si>
    <t>&lt;a href="http://a836-acris.nyc.gov/DS/DocumentSearch/DocumentDetail?doc_id=2019092400771003" target="_blank"&gt;Verified by Public Record&lt;/a&gt;</t>
  </si>
  <si>
    <t>&lt;a href="http://a836-acris.nyc.gov/DS/DocumentSearch/DocumentDetail?doc_id=2021040800509001" target="_blank"&gt;Public Record Only&lt;/a&gt;</t>
  </si>
  <si>
    <t>&lt;a href="http://a836-acris.nyc.gov/DS/DocumentSearch/DocumentDetail?doc_id=2021080300094002" target="_blank"&gt;Verified by Public Record&lt;/a&gt;</t>
  </si>
  <si>
    <t>&lt;a href="http://a836-acris.nyc.gov/DS/DocumentSearch/DocumentDetail?doc_id=2021061701430001" target="_blank"&gt;Verified by Public Record&lt;/a&gt;</t>
  </si>
  <si>
    <t>&lt;a href="http://a836-acris.nyc.gov/DS/DocumentSearch/DocumentDetail?doc_id=2021051900965001" target="_blank"&gt;Verified by Public Record&lt;/a&gt;</t>
  </si>
  <si>
    <t>Private Terrace
Deck
Roof Deck
Common Roof Deck
Common Outdoor Space
Private Outdoor Space</t>
  </si>
  <si>
    <t>&lt;a href="http://a836-acris.nyc.gov/DS/DocumentSearch/DocumentDetail?doc_id=2020120100153004" target="_blank"&gt;Verified by Public Record&lt;/a&gt;</t>
  </si>
  <si>
    <t>&lt;a href="http://a836-acris.nyc.gov/DS/DocumentSearch/DocumentDetail?doc_id=2020113000329006" target="_blank"&gt;Verified by Public Record&lt;/a&gt;</t>
  </si>
  <si>
    <t>&lt;a href="http://a836-acris.nyc.gov/DS/DocumentSearch/DocumentDetail?doc_id=2021020301337007" target="_blank"&gt;Verified by Public Record&lt;/a&gt;</t>
  </si>
  <si>
    <t>&lt;a href="http://a836-acris.nyc.gov/DS/DocumentSearch/DocumentDetail?doc_id=2020122700082001" target="_blank"&gt;Verified by Public Record&lt;/a&gt;</t>
  </si>
  <si>
    <t>&lt;a href="http://a836-acris.nyc.gov/DS/DocumentSearch/DocumentDetail?doc_id=2020111700756001" target="_blank"&gt;Verified by Public Record&lt;/a&gt;</t>
  </si>
  <si>
    <t>&lt;a href="http://a836-acris.nyc.gov/DS/DocumentSearch/DocumentDetail?doc_id=2021021700699003" target="_blank"&gt;Verified by Public Record&lt;/a&gt;</t>
  </si>
  <si>
    <t>&lt;a href="http://a836-acris.nyc.gov/DS/DocumentSearch/DocumentDetail?doc_id=2020113000032001" target="_blank"&gt;Verified by Public Record&lt;/a&gt;</t>
  </si>
  <si>
    <t>&lt;a href="http://a836-acris.nyc.gov/DS/DocumentSearch/DocumentDetail?doc_id=2020120900653001" target="_blank"&gt;Verified by Public Record&lt;/a&gt;</t>
  </si>
  <si>
    <t>&lt;a href="http://a836-acris.nyc.gov/DS/DocumentSearch/DocumentDetail?doc_id=2020112300979001" target="_blank"&gt;Verified by Public Record&lt;/a&gt;</t>
  </si>
  <si>
    <t>&lt;a href="http://a836-acris.nyc.gov/DS/DocumentSearch/DocumentDetail?doc_id=2021062400354001" target="_blank"&gt;Verified by Public Record&lt;/a&gt;</t>
  </si>
  <si>
    <t>&lt;a href="http://a836-acris.nyc.gov/DS/DocumentSearch/DocumentDetail?doc_id=2020112300433001" target="_blank"&gt;Verified by Public Record&lt;/a&gt;</t>
  </si>
  <si>
    <t>&lt;a href="http://a836-acris.nyc.gov/DS/DocumentSearch/DocumentDetail?doc_id=2020121000378001" target="_blank"&gt;Verified by Public Record&lt;/a&gt;</t>
  </si>
  <si>
    <t>&lt;a href="http://a836-acris.nyc.gov/DS/DocumentSearch/DocumentDetail?doc_id=2021041901467001" target="_blank"&gt;Verified by Public Record&lt;/a&gt;</t>
  </si>
  <si>
    <t>&lt;a href="http://a836-acris.nyc.gov/DS/DocumentSearch/DocumentDetail?doc_id=2021062900983001" target="_blank"&gt;Verified by Public Record&lt;/a&gt;</t>
  </si>
  <si>
    <t>&lt;a href="http://a836-acris.nyc.gov/DS/DocumentSearch/DocumentDetail?doc_id=2020122301426001" target="_blank"&gt;Verified by Public Record&lt;/a&gt;</t>
  </si>
  <si>
    <t>&lt;a href="http://a836-acris.nyc.gov/DS/DocumentSearch/DocumentDetail?doc_id=2019091900352001" target="_blank"&gt;Verified by Public Record&lt;/a&gt;</t>
  </si>
  <si>
    <t>&lt;a href="http://a836-acris.nyc.gov/DS/DocumentSearch/DocumentDetail?doc_id=2021032600251001" target="_blank"&gt;Verified by Public Record&lt;/a&gt;</t>
  </si>
  <si>
    <t>&lt;a href="http://a836-acris.nyc.gov/DS/DocumentSearch/DocumentDetail?doc_id=2021062400290001" target="_blank"&gt;Verified by Public Record&lt;/a&gt;</t>
  </si>
  <si>
    <t>&lt;a href="http://a836-acris.nyc.gov/DS/DocumentSearch/DocumentDetail?doc_id=2020111900947001" target="_blank"&gt;Verified by Public Record&lt;/a&gt;</t>
  </si>
  <si>
    <t>&lt;a href="http://a836-acris.nyc.gov/DS/DocumentSearch/DocumentDetail?doc_id=2020120400629003" target="_blank"&gt;Verified by Public Record&lt;/a&gt;</t>
  </si>
  <si>
    <t>&lt;a href="http://a836-acris.nyc.gov/DS/DocumentSearch/DocumentDetail?doc_id=2021031800484003" target="_blank"&gt;Verified by Public Record&lt;/a&gt;</t>
  </si>
  <si>
    <t>&lt;a href="http://a836-acris.nyc.gov/DS/DocumentSearch/DocumentDetail?doc_id=2018122000442001" target="_blank"&gt;Verified by Public Record&lt;/a&gt;</t>
  </si>
  <si>
    <t>&lt;a href="http://a836-acris.nyc.gov/DS/DocumentSearch/DocumentDetail?doc_id=2020073000214003" target="_blank"&gt;Verified by Public Record&lt;/a&gt;</t>
  </si>
  <si>
    <t>&lt;a href="http://a836-acris.nyc.gov/DS/DocumentSearch/DocumentDetail?doc_id=2019062800465001" target="_blank"&gt;Verified by Public Record&lt;/a&gt;</t>
  </si>
  <si>
    <t>&lt;a href="http://a836-acris.nyc.gov/DS/DocumentSearch/DocumentDetail?doc_id=2015102001319003" target="_blank"&gt;Verified by Public Record&lt;/a&gt;</t>
  </si>
  <si>
    <t>&lt;a href="http://a836-acris.nyc.gov/DS/DocumentSearch/DocumentDetail?doc_id=2019072900805001" target="_blank"&gt;Verified by Public Record&lt;/a&gt;</t>
  </si>
  <si>
    <t>&lt;a href="http://a836-acris.nyc.gov/DS/DocumentSearch/DocumentDetail?doc_id=2019052801028002" target="_blank"&gt;Verified by Public Record&lt;/a&gt;</t>
  </si>
  <si>
    <t>&lt;a href="http://a836-acris.nyc.gov/DS/DocumentSearch/DocumentDetail?doc_id=2019051700561001" target="_blank"&gt;Verified by Public Record&lt;/a&gt;</t>
  </si>
  <si>
    <t>&lt;a href="http://a836-acris.nyc.gov/DS/DocumentSearch/DocumentDetail?doc_id=2021012901164001" target="_blank"&gt;Verified by Public Record&lt;/a&gt;</t>
  </si>
  <si>
    <t>&lt;a href="http://a836-acris.nyc.gov/DS/DocumentSearch/DocumentDetail?doc_id=2019070200094008" target="_blank"&gt;Verified by Public Record&lt;/a&gt;</t>
  </si>
  <si>
    <t>&lt;a href="http://a836-acris.nyc.gov/DS/DocumentSearch/DocumentDetail?doc_id=2020021100134001" target="_blank"&gt;Verified by Public Record&lt;/a&gt;</t>
  </si>
  <si>
    <t>&lt;a href="http://a836-acris.nyc.gov/DS/DocumentSearch/DocumentDetail?doc_id=2021062400398001" target="_blank"&gt;Verified by Public Record&lt;/a&gt;</t>
  </si>
  <si>
    <t>&lt;a href="http://a836-acris.nyc.gov/DS/DocumentSearch/DocumentDetail?doc_id=2021053000068001" target="_blank"&gt;Verified by Public Record&lt;/a&gt;</t>
  </si>
  <si>
    <t>&lt;a href="http://a836-acris.nyc.gov/DS/DocumentSearch/DocumentDetail?doc_id=2021021700043002" target="_blank"&gt;Verified by Public Record&lt;/a&gt;</t>
  </si>
  <si>
    <t>&lt;a href="http://a836-acris.nyc.gov/DS/DocumentSearch/DocumentDetail?doc_id=2021041601204003" target="_blank"&gt;Verified by Public Record&lt;/a&gt;</t>
  </si>
  <si>
    <t>&lt;a href="http://a836-acris.nyc.gov/DS/DocumentSearch/DocumentDetail?doc_id=2020121700291001" target="_blank"&gt;Verified by Public Record&lt;/a&gt;</t>
  </si>
  <si>
    <t>&lt;a href="http://a836-acris.nyc.gov/DS/DocumentSearch/DocumentDetail?doc_id=2020112301699001" target="_blank"&gt;Verified by Public Record&lt;/a&gt;</t>
  </si>
  <si>
    <t>&lt;a href="http://a836-acris.nyc.gov/DS/DocumentSearch/DocumentDetail?doc_id=2021052800950001" target="_blank"&gt;Verified by Public Record&lt;/a&gt;</t>
  </si>
  <si>
    <t>&lt;a href="http://a836-acris.nyc.gov/DS/DocumentSearch/DocumentDetail?doc_id=2017112200651002" target="_blank"&gt;Public Record Only&lt;/a&gt;</t>
  </si>
  <si>
    <t>&lt;a href="http://a836-acris.nyc.gov/DS/DocumentSearch/DocumentDetail?doc_id=2016022901383003" target="_blank"&gt;Verified by Public Record&lt;/a&gt;</t>
  </si>
  <si>
    <t>&lt;a href="http://a836-acris.nyc.gov/DS/DocumentSearch/DocumentDetail?doc_id=2021012500454001" target="_blank"&gt;Verified by Public Record&lt;/a&gt;</t>
  </si>
  <si>
    <t>&lt;a href="http://a836-acris.nyc.gov/DS/DocumentSearch/DocumentDetail?doc_id=2021073000659001" target="_blank"&gt;Verified by Public Record&lt;/a&gt;</t>
  </si>
  <si>
    <t>&lt;a href="http://a836-acris.nyc.gov/DS/DocumentSearch/DocumentDetail?doc_id=2021042200559002" target="_blank"&gt;Verified by Public Record&lt;/a&gt;</t>
  </si>
  <si>
    <t>&lt;a href="http://a836-acris.nyc.gov/DS/DocumentSearch/DocumentDetail?doc_id=2019121800962001" target="_blank"&gt;Public Record Only&lt;/a&gt;</t>
  </si>
  <si>
    <t>Co-op/Condop</t>
  </si>
  <si>
    <t>&lt;a href="http://a836-acris.nyc.gov/DS/DocumentSearch/DocumentDetail?doc_id=2019032900283001" target="_blank"&gt;Verified by Public Record&lt;/a&gt;</t>
  </si>
  <si>
    <t>&lt;a href="http://a836-acris.nyc.gov/DS/DocumentSearch/DocumentDetail?doc_id=2020010600769001" target="_blank"&gt;Verified by Public Record&lt;/a&gt;</t>
  </si>
  <si>
    <t>&lt;a href="http://a836-acris.nyc.gov/DS/DocumentSearch/DocumentDetail?doc_id=2019051300909001" target="_blank"&gt;Verified by Public Record&lt;/a&gt;</t>
  </si>
  <si>
    <t>&lt;a href="http://a836-acris.nyc.gov/DS/DocumentSearch/DocumentDetail?doc_id=2021062300410002" target="_blank"&gt;Verified by Public Record&lt;/a&gt;</t>
  </si>
  <si>
    <t>&lt;a href="http://a836-acris.nyc.gov/DS/DocumentSearch/DocumentDetail?doc_id=2020072200745001" target="_blank"&gt;Verified by Public Record&lt;/a&gt;</t>
  </si>
  <si>
    <t>&lt;a href="http://a836-acris.nyc.gov/DS/DocumentSearch/DocumentDetail?doc_id=2020072100155002" target="_blank"&gt;Verified by Public Record&lt;/a&gt;</t>
  </si>
  <si>
    <t>&lt;a href="http://a836-acris.nyc.gov/DS/DocumentSearch/DocumentDetail?doc_id=2020082400675003" target="_blank"&gt;Verified by Public Record&lt;/a&gt;</t>
  </si>
  <si>
    <t>Co-op/Condop/Condo</t>
  </si>
  <si>
    <t>&lt;a href="http://a836-acris.nyc.gov/DS/DocumentSearch/DocumentDetail?doc_id=2019040101171001" target="_blank"&gt;Verified by Public Record&lt;/a&gt;</t>
  </si>
  <si>
    <t>&lt;a href="http://a836-acris.nyc.gov/DS/DocumentSearch/DocumentDetail?doc_id=2018031500107001" target="_blank"&gt;Verified by Public Record&lt;/a&gt;</t>
  </si>
  <si>
    <t>&lt;a href="http://a836-acris.nyc.gov/DS/DocumentSearch/DocumentDetail?doc_id=2019120300486001" target="_blank"&gt;Verified by Public Record&lt;/a&gt;</t>
  </si>
  <si>
    <t>&lt;a href="http://a836-acris.nyc.gov/DS/DocumentSearch/DocumentDetail?doc_id=2017111500451001" target="_blank"&gt;Verified by Public Record&lt;/a&gt;</t>
  </si>
  <si>
    <t>&lt;a href="http://a836-acris.nyc.gov/DS/DocumentSearch/DocumentDetail?doc_id=2015021101203001" target="_blank"&gt;Public Record Only&lt;/a&gt;</t>
  </si>
  <si>
    <t>&lt;a href="http://a836-acris.nyc.gov/DS/DocumentSearch/DocumentDetail?doc_id=2018062000955007" target="_blank"&gt;Verified by Public Record&lt;/a&gt;</t>
  </si>
  <si>
    <t>&lt;a href="http://a836-acris.nyc.gov/DS/DocumentSearch/DocumentDetail?doc_id=2020072200538001" target="_blank"&gt;Verified by Public Record&lt;/a&gt;</t>
  </si>
  <si>
    <t>&lt;a href="http://a836-acris.nyc.gov/DS/DocumentSearch/DocumentDetail?doc_id=2020070100567002" target="_blank"&gt;Verified by Public Record&lt;/a&gt;</t>
  </si>
  <si>
    <t>&lt;a href="http://a836-acris.nyc.gov/DS/DocumentSearch/DocumentDetail?doc_id=2019092700998001" target="_blank"&gt;Verified by Public Record&lt;/a&gt;</t>
  </si>
  <si>
    <t>Doorman, Remote Doorman</t>
  </si>
  <si>
    <t>&lt;a href="http://a836-acris.nyc.gov/DS/DocumentSearch/DocumentDetail?doc_id=2021050600320001" target="_blank"&gt;Verified by Public Record&lt;/a&gt;</t>
  </si>
  <si>
    <t>&lt;a href="http://a836-acris.nyc.gov/DS/DocumentSearch/DocumentDetail?doc_id=2021061801455001" target="_blank"&gt;Verified by Public Record&lt;/a&gt;</t>
  </si>
  <si>
    <t>&lt;a href="http://a836-acris.nyc.gov/DS/DocumentSearch/DocumentDetail?doc_id=2021051100514002" target="_blank"&gt;Verified by Public Record&lt;/a&gt;</t>
  </si>
  <si>
    <t>&lt;a href="http://a836-acris.nyc.gov/DS/DocumentSearch/DocumentDetail?doc_id=2020110300419001" target="_blank"&gt;Verified by Public Record&lt;/a&gt;</t>
  </si>
  <si>
    <t>&lt;a href="http://a836-acris.nyc.gov/DS/DocumentSearch/DocumentDetail?doc_id=2020050800200001" target="_blank"&gt;Verified by Public Record&lt;/a&gt;</t>
  </si>
  <si>
    <t>&lt;a href="http://a836-acris.nyc.gov/DS/DocumentSearch/DocumentDetail?doc_id=2020021100274001" target="_blank"&gt;Verified by Public Record&lt;/a&gt;</t>
  </si>
  <si>
    <t>&lt;a href="http://a836-acris.nyc.gov/DS/DocumentSearch/DocumentDetail?doc_id=2019060400705001" target="_blank"&gt;Verified by Public Record&lt;/a&gt;</t>
  </si>
  <si>
    <t>&lt;a href="http://a836-acris.nyc.gov/DS/DocumentSearch/DocumentDetail?doc_id=2017060500267001" target="_blank"&gt;Verified by Public Record&lt;/a&gt;</t>
  </si>
  <si>
    <t>Balcony
Common Outdoor Space</t>
  </si>
  <si>
    <t>&lt;a href="http://a836-acris.nyc.gov/DS/DocumentSearch/DocumentDetail?doc_id=2017062100471001" target="_blank"&gt;Verified by Public Record&lt;/a&gt;</t>
  </si>
  <si>
    <t>&lt;a href="http://a836-acris.nyc.gov/DS/DocumentSearch/DocumentDetail?doc_id=2017060200977001" target="_blank"&gt;Verified by Public Record&lt;/a&gt;</t>
  </si>
  <si>
    <t>&lt;a href="http://a836-acris.nyc.gov/DS/DocumentSearch/DocumentDetail?doc_id=2017121900519001" target="_blank"&gt;Verified by Public Record&lt;/a&gt;</t>
  </si>
  <si>
    <t>&lt;a href="http://a836-acris.nyc.gov/DS/DocumentSearch/DocumentDetail?doc_id=2019042201112001" target="_blank"&gt;Verified by Public Record&lt;/a&gt;</t>
  </si>
  <si>
    <t>&lt;a href="http://a836-acris.nyc.gov/DS/DocumentSearch/DocumentDetail?doc_id=2019041000405001" target="_blank"&gt;Verified by Public Record&lt;/a&gt;</t>
  </si>
  <si>
    <t>Juliet Balcony
Common Garden
Common Outdoor Space</t>
  </si>
  <si>
    <t>&lt;a href="http://a836-acris.nyc.gov/DS/DocumentSearch/DocumentDetail?doc_id=2019041000599001" target="_blank"&gt;Verified by Public Record&lt;/a&gt;</t>
  </si>
  <si>
    <t>&lt;a href="http://a836-acris.nyc.gov/DS/DocumentSearch/DocumentDetail?doc_id=2019032900169001" target="_blank"&gt;Verified by Public Record&lt;/a&gt;</t>
  </si>
  <si>
    <t>&lt;a href="http://a836-acris.nyc.gov/DS/DocumentSearch/DocumentDetail?doc_id=2019041000539001" target="_blank"&gt;Verified by Public Record&lt;/a&gt;</t>
  </si>
  <si>
    <t>&lt;a href="http://a836-acris.nyc.gov/DS/DocumentSearch/DocumentDetail?doc_id=2021061000386003" target="_blank"&gt;Verified by Public Record&lt;/a&gt;</t>
  </si>
  <si>
    <t>&lt;a href="http://a836-acris.nyc.gov/DS/DocumentSearch/DocumentDetail?doc_id=2020040800312001" target="_blank"&gt;Verified by Public Record&lt;/a&gt;</t>
  </si>
  <si>
    <t>&lt;a href="http://a836-acris.nyc.gov/DS/DocumentSearch/DocumentDetail?doc_id=2020050400314001" target="_blank"&gt;Verified by Public Record&lt;/a&gt;</t>
  </si>
  <si>
    <t>&lt;a href="http://a836-acris.nyc.gov/DS/DocumentSearch/DocumentDetail?doc_id=2020121000521001" target="_blank"&gt;Verified by Public Record&lt;/a&gt;</t>
  </si>
  <si>
    <t>&lt;a href="http://a836-acris.nyc.gov/DS/DocumentSearch/DocumentDetail?doc_id=2016042900129001" target="_blank"&gt;Verified by Public Record&lt;/a&gt;</t>
  </si>
  <si>
    <t>&lt;a href="http://a836-acris.nyc.gov/DS/DocumentSearch/DocumentDetail?doc_id=2016010400712001" target="_blank"&gt;Verified by Public Record&lt;/a&gt;</t>
  </si>
  <si>
    <t>&lt;a href="http://a836-acris.nyc.gov/DS/DocumentSearch/DocumentDetail?doc_id=2020062900472001" target="_blank"&gt;Public Record Only&lt;/a&gt;</t>
  </si>
  <si>
    <t>&lt;a href="http://a836-acris.nyc.gov/DS/DocumentSearch/DocumentDetail?doc_id=2021060900284001" target="_blank"&gt;Public Record Only&lt;/a&gt;</t>
  </si>
  <si>
    <t>&lt;a href="http://a836-acris.nyc.gov/DS/DocumentSearch/DocumentDetail?doc_id=2021062300983001" target="_blank"&gt;Public Record Only&lt;/a&gt;</t>
  </si>
  <si>
    <t>&lt;a href="http://a836-acris.nyc.gov/DS/DocumentSearch/DocumentDetail?doc_id=2020022801163001" target="_blank"&gt;Verified by Public Record&lt;/a&gt;</t>
  </si>
  <si>
    <t>&lt;a href="http://a836-acris.nyc.gov/DS/DocumentSearch/DocumentDetail?doc_id=2019122000711002" target="_blank"&gt;Verified by Public Record&lt;/a&gt;</t>
  </si>
  <si>
    <t>&lt;a href="http://a836-acris.nyc.gov/DS/DocumentSearch/DocumentDetail?doc_id=2021012600546001" target="_blank"&gt;Verified by Public Record&lt;/a&gt;</t>
  </si>
  <si>
    <t>Private Roof Deck
Roof Deck
Common Roof Deck
Common Garden
Common Outdoor Space</t>
  </si>
  <si>
    <t>&lt;a href="http://a836-acris.nyc.gov/DS/DocumentSearch/DocumentDetail?doc_id=2020021100599001" target="_blank"&gt;Verified by Public Record&lt;/a&gt;</t>
  </si>
  <si>
    <t>SoHo</t>
  </si>
  <si>
    <t>&lt;a href="http://a836-acris.nyc.gov/DS/DocumentSearch/DocumentDetail?doc_id=2020100500960001" target="_blank"&gt;Verified by Public Record&lt;/a&gt;</t>
  </si>
  <si>
    <t>&lt;a href="http://a836-acris.nyc.gov/DS/DocumentSearch/DocumentDetail?doc_id=2021062801011006" target="_blank"&gt;Verified by Public Record&lt;/a&gt;</t>
  </si>
  <si>
    <t>&lt;a href="http://a836-acris.nyc.gov/DS/DocumentSearch/DocumentDetail?doc_id=2017121401378001" target="_blank"&gt;Verified by Public Record&lt;/a&gt;</t>
  </si>
  <si>
    <t>&lt;a href="http://a836-acris.nyc.gov/DS/DocumentSearch/DocumentDetail?doc_id=2020021200956001" target="_blank"&gt;Verified by Public Record&lt;/a&gt;</t>
  </si>
  <si>
    <t>&lt;a href="http://a836-acris.nyc.gov/DS/DocumentSearch/DocumentDetail?doc_id=2016020401414001" target="_blank"&gt;Verified by Public Record&lt;/a&gt;</t>
  </si>
  <si>
    <t>&lt;a href="http://a836-acris.nyc.gov/DS/DocumentSearch/DocumentDetail?doc_id=2018031400624001" target="_blank"&gt;Verified by Public Record&lt;/a&gt;</t>
  </si>
  <si>
    <t>&lt;a href="http://a836-acris.nyc.gov/DS/DocumentSearch/DocumentDetail?doc_id=2020031000233001" target="_blank"&gt;Verified by Public Record&lt;/a&gt;</t>
  </si>
  <si>
    <t>&lt;a href="http://a836-acris.nyc.gov/DS/DocumentSearch/DocumentDetail?doc_id=2020010200996002" target="_blank"&gt;Verified by Public Record&lt;/a&gt;</t>
  </si>
  <si>
    <t>&lt;a href="http://a836-acris.nyc.gov/DS/DocumentSearch/DocumentDetail?doc_id=2020020701291001" target="_blank"&gt;Verified by Public Record&lt;/a&gt;</t>
  </si>
  <si>
    <t>&lt;a href="http://a836-acris.nyc.gov/DS/DocumentSearch/DocumentDetail?doc_id=2020012800696001" target="_blank"&gt;Verified by Public Record&lt;/a&gt;</t>
  </si>
  <si>
    <t>&lt;a href="http://a836-acris.nyc.gov/DS/DocumentSearch/DocumentDetail?doc_id=2019121101149001" target="_blank"&gt;Verified by Public Record&lt;/a&gt;</t>
  </si>
  <si>
    <t>&lt;a href="http://a836-acris.nyc.gov/DS/DocumentSearch/DocumentDetail?doc_id=2020020400873001" target="_blank"&gt;Verified by Public Record&lt;/a&gt;</t>
  </si>
  <si>
    <t>&lt;a href="http://a836-acris.nyc.gov/DS/DocumentSearch/DocumentDetail?doc_id=2021032201183001" target="_blank"&gt;Verified by Public Record&lt;/a&gt;</t>
  </si>
  <si>
    <t>&lt;a href="http://a836-acris.nyc.gov/DS/DocumentSearch/DocumentDetail?doc_id=2021072100593002" target="_blank"&gt;Verified by Public Record&lt;/a&gt;</t>
  </si>
  <si>
    <t>Balcony
Private Terrace
Deck
Roof Deck
Common Roof Deck
Common Outdoor Space
Private Outdoor Space</t>
  </si>
  <si>
    <t>&lt;a href="http://a836-acris.nyc.gov/DS/DocumentSearch/DocumentDetail?doc_id=2020032400307002" target="_blank"&gt;Public Record Only&lt;/a&gt;</t>
  </si>
  <si>
    <t>&lt;a href="http://a836-acris.nyc.gov/DS/DocumentSearch/DocumentDetail?doc_id=2021042601003002" target="_blank"&gt;Public Record Only&lt;/a&gt;</t>
  </si>
  <si>
    <t>&lt;a href="http://a836-acris.nyc.gov/DS/DocumentSearch/DocumentDetail?doc_id=2021051001117002" target="_blank"&gt;Public Record Only&lt;/a&gt;</t>
  </si>
  <si>
    <t>&lt;a href="http://a836-acris.nyc.gov/DS/DocumentSearch/DocumentDetail?doc_id=2015111701255001" target="_blank"&gt;Verified by Public Record&lt;/a&gt;</t>
  </si>
  <si>
    <t>&lt;a href="http://a836-acris.nyc.gov/DS/DocumentSearch/DocumentDetail?doc_id=2016012501021003" target="_blank"&gt;Verified by Public Record&lt;/a&gt;</t>
  </si>
  <si>
    <t>&lt;a href="http://a836-acris.nyc.gov/DS/DocumentSearch/DocumentDetail?doc_id=2020040300747001" target="_blank"&gt;Verified by Public Record&lt;/a&gt;</t>
  </si>
  <si>
    <t>&lt;a href="http://a836-acris.nyc.gov/DS/DocumentSearch/DocumentDetail?doc_id=2015120700289002" target="_blank"&gt;Public Record Only&lt;/a&gt;</t>
  </si>
  <si>
    <t>&lt;a href="http://a836-acris.nyc.gov/DS/DocumentSearch/DocumentDetail?doc_id=2015120101430001" target="_blank"&gt;Public Record Only&lt;/a&gt;</t>
  </si>
  <si>
    <t>&lt;a href="http://a836-acris.nyc.gov/DS/DocumentSearch/DocumentDetail?doc_id=2017112901363001" target="_blank"&gt;Verified by Public Record&lt;/a&gt;</t>
  </si>
  <si>
    <t>&lt;a href="http://a836-acris.nyc.gov/DS/DocumentSearch/DocumentDetail?doc_id=2020101200400001" target="_blank"&gt;Verified by Public Record&lt;/a&gt;</t>
  </si>
  <si>
    <t>&lt;a href="http://a836-acris.nyc.gov/DS/DocumentSearch/DocumentDetail?doc_id=2021060700520001" target="_blank"&gt;Public Record Only&lt;/a&gt;</t>
  </si>
  <si>
    <t>Townhouse/Condo/Multi Family</t>
  </si>
  <si>
    <t>&lt;a href="http://a836-acris.nyc.gov/DS/DocumentSearch/DocumentDetail?doc_id=2020043000146001" target="_blank"&gt;Verified by Public Record&lt;/a&gt;</t>
  </si>
  <si>
    <t>28' x 90'</t>
  </si>
  <si>
    <t>&lt;a href="http://a836-acris.nyc.gov/DS/DocumentSearch/DocumentDetail?doc_id=2018040300964001" target="_blank"&gt;Verified by Public Record&lt;/a&gt;</t>
  </si>
  <si>
    <t>Private Outdoor Space
Back Yard</t>
  </si>
  <si>
    <t>&lt;a href="http://a836-acris.nyc.gov/DS/DocumentSearch/DocumentDetail?doc_id=2021070700266001" target="_blank"&gt;Verified by Public Record&lt;/a&gt;</t>
  </si>
  <si>
    <t>&lt;a href="http://a836-acris.nyc.gov/DS/DocumentSearch/DocumentDetail?doc_id=2017110800567001" target="_blank"&gt;Verified by Public Record&lt;/a&gt;</t>
  </si>
  <si>
    <t>&lt;a href="http://a836-acris.nyc.gov/DS/DocumentSearch/DocumentDetail?doc_id=2021060700545001" target="_blank"&gt;Verified by Public Record&lt;/a&gt;</t>
  </si>
  <si>
    <t>&lt;a href="http://a836-acris.nyc.gov/DS/DocumentSearch/DocumentDetail?doc_id=2015111001296001" target="_blank"&gt;Public Record Only&lt;/a&gt;</t>
  </si>
  <si>
    <t>&lt;a href="http://a836-acris.nyc.gov/DS/DocumentSearch/DocumentDetail?doc_id=2015111900844001" target="_blank"&gt;Public Record Only&lt;/a&gt;</t>
  </si>
  <si>
    <t>&lt;a href="http://a836-acris.nyc.gov/DS/DocumentSearch/DocumentDetail?doc_id=2015111701027001" target="_blank"&gt;Public Record Only&lt;/a&gt;</t>
  </si>
  <si>
    <t>&lt;a href="http://a836-acris.nyc.gov/DS/DocumentSearch/DocumentDetail?doc_id=2020012100692001" target="_blank"&gt;Public Record Only&lt;/a&gt;</t>
  </si>
  <si>
    <t>&lt;a href="http://a836-acris.nyc.gov/DS/DocumentSearch/DocumentDetail?doc_id=2021033000836003" target="_blank"&gt;Public Record Only&lt;/a&gt;</t>
  </si>
  <si>
    <t>&lt;a href="http://a836-acris.nyc.gov/DS/DocumentSearch/DocumentDetail?doc_id=2021042901533001" target="_blank"&gt;Verified by Public Record&lt;/a&gt;</t>
  </si>
  <si>
    <t>&lt;a href="http://a836-acris.nyc.gov/DS/DocumentSearch/DocumentDetail?doc_id=2019040800133001" target="_blank"&gt;Verified by Public Record&lt;/a&gt;</t>
  </si>
  <si>
    <t>&lt;a href="http://a836-acris.nyc.gov/DS/DocumentSearch/DocumentDetail?doc_id=2016011101244001" target="_blank"&gt;Public Record Only&lt;/a&gt;</t>
  </si>
  <si>
    <t>&lt;a href="http://a836-acris.nyc.gov/DS/DocumentSearch/DocumentDetail?doc_id=2015122400148001" target="_blank"&gt;Public Record Only&lt;/a&gt;</t>
  </si>
  <si>
    <t>&lt;a href="http://a836-acris.nyc.gov/DS/DocumentSearch/DocumentDetail?doc_id=2011031100511002" target="_blank"&gt;Verified by Public Record&lt;/a&gt;</t>
  </si>
  <si>
    <t>&lt;a href="http://a836-acris.nyc.gov/DS/DocumentSearch/DocumentDetail?doc_id=2019092300897001" target="_blank"&gt;Verified by Public Record&lt;/a&gt;</t>
  </si>
  <si>
    <t>&lt;a href="http://a836-acris.nyc.gov/DS/DocumentSearch/DocumentDetail?doc_id=2020102200951001" target="_blank"&gt;Verified by Public Record&lt;/a&gt;</t>
  </si>
  <si>
    <t>&lt;a href="http://a836-acris.nyc.gov/DS/DocumentSearch/DocumentDetail?doc_id=2019070200094010" target="_blank"&gt;Public Record Only&lt;/a&gt;</t>
  </si>
  <si>
    <t>&lt;a href="http://a836-acris.nyc.gov/DS/DocumentSearch/DocumentDetail?doc_id=2015101400426001" target="_blank"&gt;Public Record Only&lt;/a&gt;</t>
  </si>
  <si>
    <t>&lt;a href="http://a836-acris.nyc.gov/DS/DocumentSearch/DocumentDetail?doc_id=2015102900968002" target="_blank"&gt;Public Record Only&lt;/a&gt;</t>
  </si>
  <si>
    <t>&lt;a href="http://a836-acris.nyc.gov/DS/DocumentSearch/DocumentDetail?doc_id=2015120101020001" target="_blank"&gt;Public Record Only&lt;/a&gt;</t>
  </si>
  <si>
    <t>&lt;a href="http://a836-acris.nyc.gov/DS/DocumentSearch/DocumentDetail?doc_id=2016021602442001" target="_blank"&gt;Public Record Only&lt;/a&gt;</t>
  </si>
  <si>
    <t>&lt;a href="http://a836-acris.nyc.gov/DS/DocumentSearch/DocumentDetail?doc_id=2015123100368001" target="_blank"&gt;Public Record Only&lt;/a&gt;</t>
  </si>
  <si>
    <t>&lt;a href="http://a836-acris.nyc.gov/DS/DocumentSearch/DocumentDetail?doc_id=2015110200713001" target="_blank"&gt;Verified by Public Record&lt;/a&gt;</t>
  </si>
  <si>
    <t>&lt;a href="http://a836-acris.nyc.gov/DS/DocumentSearch/DocumentDetail?doc_id=2015032401367001" target="_blank"&gt;Public Record Only&lt;/a&gt;</t>
  </si>
  <si>
    <t>Private Terrace
Private Roof Deck
Deck
Common Roof Deck
Common Outdoor Space
Private Outdoor Space</t>
  </si>
  <si>
    <t>Balcony
Private Terrace
Private Roof Deck
Deck
Common Roof Deck
Common Outdoor Space
Private Outdoor Space</t>
  </si>
  <si>
    <t>&lt;a href="http://a836-acris.nyc.gov/DS/DocumentSearch/DocumentDetail?doc_id=2018041900147001" target="_blank"&gt;Verified by Public Record&lt;/a&gt;</t>
  </si>
  <si>
    <t>Deck
Roof Deck
Common Roof Deck</t>
  </si>
  <si>
    <t>Doorman, Full-Time Doorman, Part-Time Doorman, Remote Doorman</t>
  </si>
  <si>
    <t>&lt;a href="http://a836-acris.nyc.gov/DS/DocumentSearch/DocumentDetail?doc_id=2020040900208002" target="_blank"&gt;Public Record Only&lt;/a&gt;</t>
  </si>
  <si>
    <t>&lt;a href="http://a836-acris.nyc.gov/DS/DocumentSearch/DocumentDetail?doc_id=2017040500910001" target="_blank"&gt;Verified by Public Record&lt;/a&gt;</t>
  </si>
  <si>
    <t>&lt;a href="http://a836-acris.nyc.gov/DS/DocumentSearch/DocumentDetail?doc_id=2016060101092001" target="_blank"&gt;Verified by Public Record&lt;/a&gt;</t>
  </si>
  <si>
    <t>&lt;a href="http://a836-acris.nyc.gov/DS/DocumentSearch/DocumentDetail?doc_id=2019050100273001" target="_blank"&gt;Verified by Public Record&lt;/a&gt;</t>
  </si>
  <si>
    <t>&lt;a href="http://a836-acris.nyc.gov/DS/DocumentSearch/DocumentDetail?doc_id=2020020600170001" target="_blank"&gt;Public Record Only&lt;/a&gt;</t>
  </si>
  <si>
    <t>&lt;a href="http://a836-acris.nyc.gov/DS/DocumentSearch/DocumentDetail?doc_id=2017090700620001" target="_blank"&gt;Verified by Public Record&lt;/a&gt;</t>
  </si>
  <si>
    <t>&lt;a href="http://a836-acris.nyc.gov/DS/DocumentSearch/DocumentDetail?doc_id=2016082400064001" target="_blank"&gt;Verified by Public Record&lt;/a&gt;</t>
  </si>
  <si>
    <t>&lt;a href="http://a836-acris.nyc.gov/DS/DocumentSearch/DocumentDetail?doc_id=2018020500446001" target="_blank"&gt;Verified by Public Record&lt;/a&gt;</t>
  </si>
  <si>
    <t>&lt;a href="http://a836-acris.nyc.gov/DS/DocumentSearch/DocumentDetail?doc_id=2017032000198001" target="_blank"&gt;Verified by Public Record&lt;/a&gt;</t>
  </si>
  <si>
    <t>&lt;a href="http://a836-acris.nyc.gov/DS/DocumentSearch/DocumentDetail?doc_id=2016061401104001" target="_blank"&gt;Verified by Public Record&lt;/a&gt;</t>
  </si>
  <si>
    <t>&lt;a href="http://a836-acris.nyc.gov/DS/DocumentSearch/DocumentDetail?doc_id=2016060100510001" target="_blank"&gt;Verified by Public Record&lt;/a&gt;</t>
  </si>
  <si>
    <t>&lt;a href="http://a836-acris.nyc.gov/DS/DocumentSearch/DocumentDetail?doc_id=2018042501197001" target="_blank"&gt;Verified by Public Record&lt;/a&gt;</t>
  </si>
  <si>
    <t>&lt;a href="http://a836-acris.nyc.gov/DS/DocumentSearch/DocumentDetail?doc_id=2019081300208001" target="_blank"&gt;Verified by Public Record&lt;/a&gt;</t>
  </si>
  <si>
    <t>&lt;a href="http://a836-acris.nyc.gov/DS/DocumentSearch/DocumentDetail?doc_id=2017071200093002" target="_blank"&gt;Verified by Public Record&lt;/a&gt;</t>
  </si>
  <si>
    <t>&lt;a href="http://a836-acris.nyc.gov/DS/DocumentSearch/DocumentDetail?doc_id=2018071000135001" target="_blank"&gt;Verified by Public Record&lt;/a&gt;</t>
  </si>
  <si>
    <t>Private Terrace
Private Roof Deck
Common Outdoor Space</t>
  </si>
  <si>
    <t>&lt;a href="http://a836-acris.nyc.gov/DS/DocumentSearch/DocumentDetail?doc_id=2020060201209003" target="_blank"&gt;Verified by Public Record&lt;/a&gt;</t>
  </si>
  <si>
    <t>&lt;a href="http://a836-acris.nyc.gov/DS/DocumentSearch/DocumentDetail?doc_id=2017032200978001" target="_blank"&gt;Verified by Public Record&lt;/a&gt;</t>
  </si>
  <si>
    <t>&lt;a href="http://a836-acris.nyc.gov/DS/DocumentSearch/DocumentDetail?doc_id=2020110900704001" target="_blank"&gt;Public Record Only&lt;/a&gt;</t>
  </si>
  <si>
    <t>&lt;a href="http://a836-acris.nyc.gov/DS/DocumentSearch/DocumentDetail?doc_id=2019110400320001" target="_blank"&gt;Verified by Public Record&lt;/a&gt;</t>
  </si>
  <si>
    <t>&lt;a href="http://a836-acris.nyc.gov/DS/DocumentSearch/DocumentDetail?doc_id=2019100800791001" target="_blank"&gt;Verified by Public Record&lt;/a&gt;</t>
  </si>
  <si>
    <t>&lt;a href="http://a836-acris.nyc.gov/DS/DocumentSearch/DocumentDetail?doc_id=2019110100723001" target="_blank"&gt;Verified by Public Record&lt;/a&gt;</t>
  </si>
  <si>
    <t>&lt;a href="http://a836-acris.nyc.gov/DS/DocumentSearch/DocumentDetail?doc_id=2019102901122004" target="_blank"&gt;Verified by Public Record&lt;/a&gt;</t>
  </si>
  <si>
    <t>&lt;a href="http://a836-acris.nyc.gov/DS/DocumentSearch/DocumentDetail?doc_id=2019110600691004" target="_blank"&gt;Verified by Public Record&lt;/a&gt;</t>
  </si>
  <si>
    <t>&lt;a href="http://a836-acris.nyc.gov/DS/DocumentSearch/DocumentDetail?doc_id=2019120900370002" target="_blank"&gt;Verified by Public Record&lt;/a&gt;</t>
  </si>
  <si>
    <t>Roof Deck
Common Roof Deck
Common Outdoor Space
Private Outdoor Space</t>
  </si>
  <si>
    <t>&lt;a href="http://a836-acris.nyc.gov/DS/DocumentSearch/DocumentDetail?doc_id=2019110800447001" target="_blank"&gt;Verified by Public Record&lt;/a&gt;</t>
  </si>
  <si>
    <t>&lt;a href="http://a836-acris.nyc.gov/DS/DocumentSearch/DocumentDetail?doc_id=2019091901013001" target="_blank"&gt;Verified by Public Record&lt;/a&gt;</t>
  </si>
  <si>
    <t>&lt;a href="http://a836-acris.nyc.gov/DS/DocumentSearch/DocumentDetail?doc_id=2019093001066001" target="_blank"&gt;Verified by Public Record&lt;/a&gt;</t>
  </si>
  <si>
    <t>&lt;a href="http://a836-acris.nyc.gov/DS/DocumentSearch/DocumentDetail?doc_id=2019081500744001" target="_blank"&gt;Verified by Public Record&lt;/a&gt;</t>
  </si>
  <si>
    <t>&lt;a href="http://a836-acris.nyc.gov/DS/DocumentSearch/DocumentDetail?doc_id=2019091300477001" target="_blank"&gt;Verified by Public Record&lt;/a&gt;</t>
  </si>
  <si>
    <t>&lt;a href="http://a836-acris.nyc.gov/DS/DocumentSearch/DocumentDetail?doc_id=2019092500255004" target="_blank"&gt;Verified by Public Record&lt;/a&gt;</t>
  </si>
  <si>
    <t>&lt;a href="http://a836-acris.nyc.gov/DS/DocumentSearch/DocumentDetail?doc_id=2019110101172002" target="_blank"&gt;Verified by Public Record&lt;/a&gt;</t>
  </si>
  <si>
    <t>&lt;a href="http://a836-acris.nyc.gov/DS/DocumentSearch/DocumentDetail?doc_id=2019082800571004" target="_blank"&gt;Verified by Public Record&lt;/a&gt;</t>
  </si>
  <si>
    <t>&lt;a href="http://a836-acris.nyc.gov/DS/DocumentSearch/DocumentDetail?doc_id=2016060701064001" target="_blank"&gt;Verified by Public Record&lt;/a&gt;</t>
  </si>
  <si>
    <t>&lt;a href="http://a836-acris.nyc.gov/DS/DocumentSearch/DocumentDetail?doc_id=2021040501032001" target="_blank"&gt;Verified by Public Record&lt;/a&gt;</t>
  </si>
  <si>
    <t>&lt;a href="http://a836-acris.nyc.gov/DS/DocumentSearch/DocumentDetail?doc_id=2019100200886004" target="_blank"&gt;Verified by Public Record&lt;/a&gt;</t>
  </si>
  <si>
    <t>&lt;a href="http://a836-acris.nyc.gov/DS/DocumentSearch/DocumentDetail?doc_id=2019092300196001" target="_blank"&gt;Verified by Public Record&lt;/a&gt;</t>
  </si>
  <si>
    <t>&lt;a href="http://a836-acris.nyc.gov/DS/DocumentSearch/DocumentDetail?doc_id=2019100201023003" target="_blank"&gt;Verified by Public Record&lt;/a&gt;</t>
  </si>
  <si>
    <t>&lt;a href="http://a836-acris.nyc.gov/DS/DocumentSearch/DocumentDetail?doc_id=2019101500883001" target="_blank"&gt;Verified by Public Record&lt;/a&gt;</t>
  </si>
  <si>
    <t>&lt;a href="http://a836-acris.nyc.gov/DS/DocumentSearch/DocumentDetail?doc_id=2019101800227001" target="_blank"&gt;Verified by Public Record&lt;/a&gt;</t>
  </si>
  <si>
    <t>&lt;a href="http://a836-acris.nyc.gov/DS/DocumentSearch/DocumentDetail?doc_id=2019110701190001" target="_blank"&gt;Verified by Public Record&lt;/a&gt;</t>
  </si>
  <si>
    <t>&lt;a href="http://a836-acris.nyc.gov/DS/DocumentSearch/DocumentDetail?doc_id=2019082800366004" target="_blank"&gt;Verified by Public Record&lt;/a&gt;</t>
  </si>
  <si>
    <t>&lt;a href="http://a836-acris.nyc.gov/DS/DocumentSearch/DocumentDetail?doc_id=2018062200101001" target="_blank"&gt;Verified by Public Record&lt;/a&gt;</t>
  </si>
  <si>
    <t>&lt;a href="http://a836-acris.nyc.gov/DS/DocumentSearch/DocumentDetail?doc_id=2018122600840001" target="_blank"&gt;Verified by Public Record&lt;/a&gt;</t>
  </si>
  <si>
    <t>&lt;a href="http://a836-acris.nyc.gov/DS/DocumentSearch/DocumentDetail?doc_id=2018061900571001" target="_blank"&gt;Verified by Public Record&lt;/a&gt;</t>
  </si>
  <si>
    <t>&lt;a href="http://a836-acris.nyc.gov/DS/DocumentSearch/DocumentDetail?doc_id=2019102400361001" target="_blank"&gt;Verified by Public Record&lt;/a&gt;</t>
  </si>
  <si>
    <t>&lt;a href="http://a836-acris.nyc.gov/DS/DocumentSearch/DocumentDetail?doc_id=2020120801013003" target="_blank"&gt;Verified by Public Record&lt;/a&gt;</t>
  </si>
  <si>
    <t>&lt;a href="http://a836-acris.nyc.gov/DS/DocumentSearch/DocumentDetail?doc_id=2020052700457003" target="_blank"&gt;Verified by Public Record&lt;/a&gt;</t>
  </si>
  <si>
    <t>&lt;a href="http://a836-acris.nyc.gov/DS/DocumentSearch/DocumentDetail?doc_id=2020020501032001" target="_blank"&gt;Verified by Public Record&lt;/a&gt;</t>
  </si>
  <si>
    <t>&lt;a href="http://a836-acris.nyc.gov/DS/DocumentSearch/DocumentDetail?doc_id=2021012100923002" target="_blank"&gt;Verified by Public Record&lt;/a&gt;</t>
  </si>
  <si>
    <t>&lt;a href="http://a836-acris.nyc.gov/DS/DocumentSearch/DocumentDetail?doc_id=2017020100444001" target="_blank"&gt;Verified by Public Record&lt;/a&gt;</t>
  </si>
  <si>
    <t>&lt;a href="http://a836-acris.nyc.gov/DS/DocumentSearch/DocumentDetail?doc_id=2019102500173001" target="_blank"&gt;Verified by Public Record&lt;/a&gt;</t>
  </si>
  <si>
    <t>&lt;a href="http://a836-acris.nyc.gov/DS/DocumentSearch/DocumentDetail?doc_id=2019100100650001" target="_blank"&gt;Verified by Public Record&lt;/a&gt;</t>
  </si>
  <si>
    <t>&lt;a href="http://a836-acris.nyc.gov/DS/DocumentSearch/DocumentDetail?doc_id=2019102900813002" target="_blank"&gt;Verified by Public Record&lt;/a&gt;</t>
  </si>
  <si>
    <t>&lt;a href="http://a836-acris.nyc.gov/DS/DocumentSearch/DocumentDetail?doc_id=2020021900984001" target="_blank"&gt;Verified by Public Record&lt;/a&gt;</t>
  </si>
  <si>
    <t>&lt;a href="http://a836-acris.nyc.gov/DS/DocumentSearch/DocumentDetail?doc_id=2019092401375001" target="_blank"&gt;Verified by Public Record&lt;/a&gt;</t>
  </si>
  <si>
    <t>&lt;a href="http://a836-acris.nyc.gov/DS/DocumentSearch/DocumentDetail?doc_id=2019082901266002" target="_blank"&gt;Verified by Public Record&lt;/a&gt;</t>
  </si>
  <si>
    <t>&lt;a href="http://a836-acris.nyc.gov/DS/DocumentSearch/DocumentDetail?doc_id=2019092601281002" target="_blank"&gt;Verified by Public Record&lt;/a&gt;</t>
  </si>
  <si>
    <t>&lt;a href="http://a836-acris.nyc.gov/DS/DocumentSearch/DocumentDetail?doc_id=2019102100544001" target="_blank"&gt;Verified by Public Record&lt;/a&gt;</t>
  </si>
  <si>
    <t>&lt;a href="http://a836-acris.nyc.gov/DS/DocumentSearch/DocumentDetail?doc_id=2019082900970002" target="_blank"&gt;Verified by Public Record&lt;/a&gt;</t>
  </si>
  <si>
    <t>&lt;a href="http://a836-acris.nyc.gov/DS/DocumentSearch/DocumentDetail?doc_id=2019082900481004" target="_blank"&gt;Verified by Public Record&lt;/a&gt;</t>
  </si>
  <si>
    <t>&lt;a href="http://a836-acris.nyc.gov/DS/DocumentSearch/DocumentDetail?doc_id=2019093000353004" target="_blank"&gt;Verified by Public Record&lt;/a&gt;</t>
  </si>
  <si>
    <t>&lt;a href="http://a836-acris.nyc.gov/DS/DocumentSearch/DocumentDetail?doc_id=2019092700604004" target="_blank"&gt;Verified by Public Record&lt;/a&gt;</t>
  </si>
  <si>
    <t>&lt;a href="http://a836-acris.nyc.gov/DS/DocumentSearch/DocumentDetail?doc_id=2019090900164001" target="_blank"&gt;Verified by Public Record&lt;/a&gt;</t>
  </si>
  <si>
    <t>&lt;a href="http://a836-acris.nyc.gov/DS/DocumentSearch/DocumentDetail?doc_id=2019102200111001" target="_blank"&gt;Verified by Public Record&lt;/a&gt;</t>
  </si>
  <si>
    <t>&lt;a href="http://a836-acris.nyc.gov/DS/DocumentSearch/DocumentDetail?doc_id=2019110700387001" target="_blank"&gt;Verified by Public Record&lt;/a&gt;</t>
  </si>
  <si>
    <t>&lt;a href="http://a836-acris.nyc.gov/DS/DocumentSearch/DocumentDetail?doc_id=2016060700577006" target="_blank"&gt;Verified by Public Record&lt;/a&gt;</t>
  </si>
  <si>
    <t>&lt;a href="http://a836-acris.nyc.gov/DS/DocumentSearch/DocumentDetail?doc_id=2016062701495003" target="_blank"&gt;Verified by Public Record&lt;/a&gt;</t>
  </si>
  <si>
    <t>&lt;a href="http://a836-acris.nyc.gov/DS/DocumentSearch/DocumentDetail?doc_id=2016071900679001" target="_blank"&gt;Verified by Public Record&lt;/a&gt;</t>
  </si>
  <si>
    <t>&lt;a href="http://a836-acris.nyc.gov/DS/DocumentSearch/DocumentDetail?doc_id=2020052800481001" target="_blank"&gt;Verified by Public Record&lt;/a&gt;</t>
  </si>
  <si>
    <t>&lt;a href="http://a836-acris.nyc.gov/DS/DocumentSearch/DocumentDetail?doc_id=2021070701066001" target="_blank"&gt;Verified by Public Record&lt;/a&gt;</t>
  </si>
  <si>
    <t>&lt;a href="http://a836-acris.nyc.gov/DS/DocumentSearch/DocumentDetail?doc_id=2021052800219001" target="_blank"&gt;Verified by Public Record&lt;/a&gt;</t>
  </si>
  <si>
    <t>&lt;a href="http://a836-acris.nyc.gov/DS/DocumentSearch/DocumentDetail?doc_id=2016071900522001" target="_blank"&gt;Verified by Public Record&lt;/a&gt;</t>
  </si>
  <si>
    <t>&lt;a href="http://a836-acris.nyc.gov/DS/DocumentSearch/DocumentDetail?doc_id=2016062200807002" target="_blank"&gt;Verified by Public Record&lt;/a&gt;</t>
  </si>
  <si>
    <t>&lt;a href="http://a836-acris.nyc.gov/DS/DocumentSearch/DocumentDetail?doc_id=2016062401859001" target="_blank"&gt;Verified by Public Record&lt;/a&gt;</t>
  </si>
  <si>
    <t>&lt;a href="http://a836-acris.nyc.gov/DS/DocumentSearch/DocumentDetail?doc_id=2020011600616004" target="_blank"&gt;Verified by Public Record&lt;/a&gt;</t>
  </si>
  <si>
    <t>&lt;a href="http://a836-acris.nyc.gov/DS/DocumentSearch/DocumentDetail?doc_id=2018071600474001" target="_blank"&gt;Verified by Public Record&lt;/a&gt;</t>
  </si>
  <si>
    <t>&lt;a href="http://a836-acris.nyc.gov/DS/DocumentSearch/DocumentDetail?doc_id=2018123100401001" target="_blank"&gt;Verified by Public Record&lt;/a&gt;</t>
  </si>
  <si>
    <t>&lt;a href="http://a836-acris.nyc.gov/DS/DocumentSearch/DocumentDetail?doc_id=2018080300529001" target="_blank"&gt;Verified by Public Record&lt;/a&gt;</t>
  </si>
  <si>
    <t>&lt;a href="http://a836-acris.nyc.gov/DS/DocumentSearch/DocumentDetail?doc_id=2018071601072001" target="_blank"&gt;Verified by Public Record&lt;/a&gt;</t>
  </si>
  <si>
    <t>Hudson Square</t>
  </si>
  <si>
    <t>&lt;a href="http://a836-acris.nyc.gov/DS/DocumentSearch/DocumentDetail?doc_id=2018011800796001" target="_blank"&gt;Verified by Public Record&lt;/a&gt;</t>
  </si>
  <si>
    <t>&lt;a href="http://a836-acris.nyc.gov/DS/DocumentSearch/DocumentDetail?doc_id=2019100800808004" target="_blank"&gt;Verified by Public Record&lt;/a&gt;</t>
  </si>
  <si>
    <t>&lt;a href="http://a836-acris.nyc.gov/DS/DocumentSearch/DocumentDetail?doc_id=2019092301096004" target="_blank"&gt;Verified by Public Record&lt;/a&gt;</t>
  </si>
  <si>
    <t>&lt;a href="http://a836-acris.nyc.gov/DS/DocumentSearch/DocumentDetail?doc_id=2019110300024002" target="_blank"&gt;Verified by Public Record&lt;/a&gt;</t>
  </si>
  <si>
    <t>&lt;a href="http://a836-acris.nyc.gov/DS/DocumentSearch/DocumentDetail?doc_id=2019090500650004" target="_blank"&gt;Verified by Public Record&lt;/a&gt;</t>
  </si>
  <si>
    <t>&lt;a href="http://a836-acris.nyc.gov/DS/DocumentSearch/DocumentDetail?doc_id=2019102101060001" target="_blank"&gt;Verified by Public Record&lt;/a&gt;</t>
  </si>
  <si>
    <t>&lt;a href="http://a836-acris.nyc.gov/DS/DocumentSearch/DocumentDetail?doc_id=2019090300286001" target="_blank"&gt;Verified by Public Record&lt;/a&gt;</t>
  </si>
  <si>
    <t>&lt;a href="http://a836-acris.nyc.gov/DS/DocumentSearch/DocumentDetail?doc_id=2019090400758002" target="_blank"&gt;Verified by Public Record&lt;/a&gt;</t>
  </si>
  <si>
    <t>&lt;a href="http://a836-acris.nyc.gov/DS/DocumentSearch/DocumentDetail?doc_id=2019082100883001" target="_blank"&gt;Verified by Public Record&lt;/a&gt;</t>
  </si>
  <si>
    <t>&lt;a href="http://a836-acris.nyc.gov/DS/DocumentSearch/DocumentDetail?doc_id=2019102901008002" target="_blank"&gt;Verified by Public Record&lt;/a&gt;</t>
  </si>
  <si>
    <t>&lt;a href="http://a836-acris.nyc.gov/DS/DocumentSearch/DocumentDetail?doc_id=2019102700036001" target="_blank"&gt;Verified by Public Record&lt;/a&gt;</t>
  </si>
  <si>
    <t>&lt;a href="http://a836-acris.nyc.gov/DS/DocumentSearch/DocumentDetail?doc_id=2019112500934001" target="_blank"&gt;Verified by Public Record&lt;/a&gt;</t>
  </si>
  <si>
    <t>&lt;a href="http://a836-acris.nyc.gov/DS/DocumentSearch/DocumentDetail?doc_id=2019091600976002" target="_blank"&gt;Verified by Public Record&lt;/a&gt;</t>
  </si>
  <si>
    <t>&lt;a href="http://a836-acris.nyc.gov/DS/DocumentSearch/DocumentDetail?doc_id=2019102300586001" target="_blank"&gt;Verified by Public Record&lt;/a&gt;</t>
  </si>
  <si>
    <t>&lt;a href="http://a836-acris.nyc.gov/DS/DocumentSearch/DocumentDetail?doc_id=2016063000151001" target="_blank"&gt;Verified by Public Record&lt;/a&gt;</t>
  </si>
  <si>
    <t>Balcony
Private Roof Deck
Deck
Common Roof Deck
Common Outdoor Space
Private Outdoor Space</t>
  </si>
  <si>
    <t>&lt;a href="http://a836-acris.nyc.gov/DS/DocumentSearch/DocumentDetail?doc_id=2021050301125001" target="_blank"&gt;Verified by Public Record&lt;/a&gt;</t>
  </si>
  <si>
    <t>&lt;a href="http://a836-acris.nyc.gov/DS/DocumentSearch/DocumentDetail?doc_id=2019021500767002" target="_blank"&gt;Verified by Public Record&lt;/a&gt;</t>
  </si>
  <si>
    <t>&lt;a href="http://a836-acris.nyc.gov/DS/DocumentSearch/DocumentDetail?doc_id=2018062500324001" target="_blank"&gt;Verified by Public Record&lt;/a&gt;</t>
  </si>
  <si>
    <t>&lt;a href="http://a836-acris.nyc.gov/DS/DocumentSearch/DocumentDetail?doc_id=2018120401141001" target="_blank"&gt;Verified by Public Record&lt;/a&gt;</t>
  </si>
  <si>
    <t>Deck
Roof Deck
Common Roof Deck
Private Outdoor Space</t>
  </si>
  <si>
    <t>&lt;a href="http://a836-acris.nyc.gov/DS/DocumentSearch/DocumentDetail?doc_id=2020112000999002" target="_blank"&gt;Verified by Public Record&lt;/a&gt;</t>
  </si>
  <si>
    <t>&lt;a href="http://a836-acris.nyc.gov/DS/DocumentSearch/DocumentDetail?doc_id=2019100201165001" target="_blank"&gt;Verified by Public Record&lt;/a&gt;</t>
  </si>
  <si>
    <t>&lt;a href="http://a836-acris.nyc.gov/DS/DocumentSearch/DocumentDetail?doc_id=2018091100025002" target="_blank"&gt;Verified by Public Record&lt;/a&gt;</t>
  </si>
  <si>
    <t>&lt;a href="http://a836-acris.nyc.gov/DS/DocumentSearch/DocumentDetail?doc_id=2018090600862001" target="_blank"&gt;Verified by Public Record&lt;/a&gt;</t>
  </si>
  <si>
    <t>&lt;a href="http://a836-acris.nyc.gov/DS/DocumentSearch/DocumentDetail?doc_id=2018100100889001" target="_blank"&gt;Verified by Public Record&lt;/a&gt;</t>
  </si>
  <si>
    <t>&lt;a href="http://a836-acris.nyc.gov/DS/DocumentSearch/DocumentDetail?doc_id=2019090500727001" target="_blank"&gt;Verified by Public Record&lt;/a&gt;</t>
  </si>
  <si>
    <t>&lt;a href="http://a836-acris.nyc.gov/DS/DocumentSearch/DocumentDetail?doc_id=2021030301016001" target="_blank"&gt;Verified by Public Record&lt;/a&gt;</t>
  </si>
  <si>
    <t>&lt;a href="http://a836-acris.nyc.gov/DS/DocumentSearch/DocumentDetail?doc_id=2016062900702003" target="_blank"&gt;Verified by Public Record&lt;/a&gt;</t>
  </si>
  <si>
    <t>&lt;a href="http://a836-acris.nyc.gov/DS/DocumentSearch/DocumentDetail?doc_id=2019082200813001" target="_blank"&gt;Verified by Public Record&lt;/a&gt;</t>
  </si>
  <si>
    <t>&lt;a href="http://a836-acris.nyc.gov/DS/DocumentSearch/DocumentDetail?doc_id=2019081500366003" target="_blank"&gt;Verified by Public Record&lt;/a&gt;</t>
  </si>
  <si>
    <t>&lt;a href="http://a836-acris.nyc.gov/DS/DocumentSearch/DocumentDetail?doc_id=2019112001303001" target="_blank"&gt;Verified by Public Record&lt;/a&gt;</t>
  </si>
  <si>
    <t>&lt;a href="http://a836-acris.nyc.gov/DS/DocumentSearch/DocumentDetail?doc_id=2020030200711001" target="_blank"&gt;Verified by Public Record&lt;/a&gt;</t>
  </si>
  <si>
    <t>&lt;a href="http://a836-acris.nyc.gov/DS/DocumentSearch/DocumentDetail?doc_id=2019101400158003" target="_blank"&gt;Verified by Public Record&lt;/a&gt;</t>
  </si>
  <si>
    <t>&lt;a href="http://a836-acris.nyc.gov/DS/DocumentSearch/DocumentDetail?doc_id=2021061500829001" target="_blank"&gt;Verified by Public Record&lt;/a&gt;</t>
  </si>
  <si>
    <t>&lt;a href="http://a836-acris.nyc.gov/DS/DocumentSearch/DocumentDetail?doc_id=2016060100894001" target="_blank"&gt;Verified by Public Record&lt;/a&gt;</t>
  </si>
  <si>
    <t>&lt;a href="http://a836-acris.nyc.gov/DS/DocumentSearch/DocumentDetail?doc_id=2015110201354002" target="_blank"&gt;Public Record Only&lt;/a&gt;</t>
  </si>
  <si>
    <t>&lt;a href="http://a836-acris.nyc.gov/DS/DocumentSearch/DocumentDetail?doc_id=2021031601227001" target="_blank"&gt;Verified by Public Record&lt;/a&gt;</t>
  </si>
  <si>
    <t>&lt;a href="http://a836-acris.nyc.gov/DS/DocumentSearch/DocumentDetail?doc_id=2019120900782001" target="_blank"&gt;Verified by Public Record&lt;/a&gt;</t>
  </si>
  <si>
    <t>&lt;a href="http://a836-acris.nyc.gov/DS/DocumentSearch/DocumentDetail?doc_id=2019111500504001" target="_blank"&gt;Verified by Public Record&lt;/a&gt;</t>
  </si>
  <si>
    <t>&lt;a href="http://a836-acris.nyc.gov/DS/DocumentSearch/DocumentDetail?doc_id=2018061800953001" target="_blank"&gt;Verified by Public Record&lt;/a&gt;</t>
  </si>
  <si>
    <t>&lt;a href="http://a836-acris.nyc.gov/DS/DocumentSearch/DocumentDetail?doc_id=2018062800089003" target="_blank"&gt;Verified by Public Record&lt;/a&gt;</t>
  </si>
  <si>
    <t>&lt;a href="http://a836-acris.nyc.gov/DS/DocumentSearch/DocumentDetail?doc_id=2020040900405001" target="_blank"&gt;Verified by Public Record&lt;/a&gt;</t>
  </si>
  <si>
    <t>&lt;a href="http://a836-acris.nyc.gov/DS/DocumentSearch/DocumentDetail?doc_id=2016122000507003" target="_blank"&gt;Verified by Public Record&lt;/a&gt;</t>
  </si>
  <si>
    <t>&lt;a href="http://a836-acris.nyc.gov/DS/DocumentSearch/DocumentDetail?doc_id=2015111200423001" target="_blank"&gt;Public Record Only&lt;/a&gt;</t>
  </si>
  <si>
    <t>&lt;a href="http://a836-acris.nyc.gov/DS/DocumentSearch/DocumentDetail?doc_id=2019121500019001" target="_blank"&gt;Verified by Public Record&lt;/a&gt;</t>
  </si>
  <si>
    <t>&lt;a href="http://a836-acris.nyc.gov/DS/DocumentSearch/DocumentDetail?doc_id=2018122000062002" target="_blank"&gt;Verified by Public Record&lt;/a&gt;</t>
  </si>
  <si>
    <t>&lt;a href="http://a836-acris.nyc.gov/DS/DocumentSearch/DocumentDetail?doc_id=2015121400831001" target="_blank"&gt;Public Record Only&lt;/a&gt;</t>
  </si>
  <si>
    <t>&lt;a href="http://a836-acris.nyc.gov/DS/DocumentSearch/DocumentDetail?doc_id=2018072501051001" target="_blank"&gt;Verified by Public Record&lt;/a&gt;</t>
  </si>
  <si>
    <t>&lt;a href="http://a836-acris.nyc.gov/DS/DocumentSearch/DocumentDetail?doc_id=2018072700064001" target="_blank"&gt;Verified by Public Record&lt;/a&gt;</t>
  </si>
  <si>
    <t>&lt;a href="http://a836-acris.nyc.gov/DS/DocumentSearch/DocumentDetail?doc_id=2020091400810003" target="_blank"&gt;Verified by Public Record&lt;/a&gt;</t>
  </si>
  <si>
    <t>&lt;a href="http://a836-acris.nyc.gov/DS/DocumentSearch/DocumentDetail?doc_id=2018121200188001" target="_blank"&gt;Verified by Public Record&lt;/a&gt;</t>
  </si>
  <si>
    <t>&lt;a href="http://a836-acris.nyc.gov/DS/DocumentSearch/DocumentDetail?doc_id=2018061400802001" target="_blank"&gt;Verified by Public Record&lt;/a&gt;</t>
  </si>
  <si>
    <t>&lt;a href="http://a836-acris.nyc.gov/DS/DocumentSearch/DocumentDetail?doc_id=2020122100455002" target="_blank"&gt;Verified by Public Record&lt;/a&gt;</t>
  </si>
  <si>
    <t>Balcony
Juliet Balcony
Private Roof Deck
Deck
Roof Deck
Common Roof Deck
Common Garden
Common Outdoor Space
Private Outdoor Space</t>
  </si>
  <si>
    <t>&lt;a href="http://a836-acris.nyc.gov/DS/DocumentSearch/DocumentDetail?doc_id=2020061800286001" target="_blank"&gt;Verified by Public Record&lt;/a&gt;</t>
  </si>
  <si>
    <t>&lt;a href="http://a836-acris.nyc.gov/DS/DocumentSearch/DocumentDetail?doc_id=2018100300109001" target="_blank"&gt;Verified by Public Record&lt;/a&gt;</t>
  </si>
  <si>
    <t>&lt;a href="http://a836-acris.nyc.gov/DS/DocumentSearch/DocumentDetail?doc_id=2018103000691001" target="_blank"&gt;Verified by Public Record&lt;/a&gt;</t>
  </si>
  <si>
    <t>&lt;a href="http://a836-acris.nyc.gov/DS/DocumentSearch/DocumentDetail?doc_id=2019102300674001" target="_blank"&gt;Verified by Public Record&lt;/a&gt;</t>
  </si>
  <si>
    <t>&lt;a href="http://a836-acris.nyc.gov/DS/DocumentSearch/DocumentDetail?doc_id=2019101500990001" target="_blank"&gt;Verified by Public Record&lt;/a&gt;</t>
  </si>
  <si>
    <t>&lt;a href="http://a836-acris.nyc.gov/DS/DocumentSearch/DocumentDetail?doc_id=2019110500852001" target="_blank"&gt;Verified by Public Record&lt;/a&gt;</t>
  </si>
  <si>
    <t>&lt;a href="http://a836-acris.nyc.gov/DS/DocumentSearch/DocumentDetail?doc_id=2019121601190001" target="_blank"&gt;Verified by Public Record&lt;/a&gt;</t>
  </si>
  <si>
    <t>&lt;a href="http://a836-acris.nyc.gov/DS/DocumentSearch/DocumentDetail?doc_id=2019081900847001" target="_blank"&gt;Verified by Public Record&lt;/a&gt;</t>
  </si>
  <si>
    <t>&lt;a href="http://a836-acris.nyc.gov/DS/DocumentSearch/DocumentDetail?doc_id=2019092300673001" target="_blank"&gt;Verified by Public Record&lt;/a&gt;</t>
  </si>
  <si>
    <t>&lt;a href="http://a836-acris.nyc.gov/DS/DocumentSearch/DocumentDetail?doc_id=2019010800853001" target="_blank"&gt;Verified by Public Record&lt;/a&gt;</t>
  </si>
  <si>
    <t>&lt;a href="http://a836-acris.nyc.gov/DS/DocumentSearch/DocumentDetail?doc_id=2019012201015001" target="_blank"&gt;Verified by Public Record&lt;/a&gt;</t>
  </si>
  <si>
    <t>&lt;a href="http://a836-acris.nyc.gov/DS/DocumentSearch/DocumentDetail?doc_id=2019103101208002" target="_blank"&gt;Verified by Public Record&lt;/a&gt;</t>
  </si>
  <si>
    <t>&lt;a href="http://a836-acris.nyc.gov/DS/DocumentSearch/DocumentDetail?doc_id=2019100300961001" target="_blank"&gt;Verified by Public Record&lt;/a&gt;</t>
  </si>
  <si>
    <t>&lt;a href="http://a836-acris.nyc.gov/DS/DocumentSearch/DocumentDetail?doc_id=2019082801009001" target="_blank"&gt;Verified by Public Record&lt;/a&gt;</t>
  </si>
  <si>
    <t>&lt;a href="http://a836-acris.nyc.gov/DS/DocumentSearch/DocumentDetail?doc_id=2019100400247001" target="_blank"&gt;Verified by Public Record&lt;/a&gt;</t>
  </si>
  <si>
    <t>&lt;a href="http://a836-acris.nyc.gov/DS/DocumentSearch/DocumentDetail?doc_id=2019091300731001" target="_blank"&gt;Verified by Public Record&lt;/a&gt;</t>
  </si>
  <si>
    <t>&lt;a href="http://a836-acris.nyc.gov/DS/DocumentSearch/DocumentDetail?doc_id=2019110101059004" target="_blank"&gt;Verified by Public Record&lt;/a&gt;</t>
  </si>
  <si>
    <t>Balcony
Juliet Balcony
Private Terrace
Common Garden
Common Outdoor Space
Private Outdoor Space</t>
  </si>
  <si>
    <t>&lt;a href="http://a836-acris.nyc.gov/DS/DocumentSearch/DocumentDetail?doc_id=2019022200904001" target="_blank"&gt;Verified by Public Record&lt;/a&gt;</t>
  </si>
  <si>
    <t>&lt;a href="http://a836-acris.nyc.gov/DS/DocumentSearch/DocumentDetail?doc_id=2018091800696001" target="_blank"&gt;Verified by Public Record&lt;/a&gt;</t>
  </si>
  <si>
    <t>&lt;a href="http://a836-acris.nyc.gov/DS/DocumentSearch/DocumentDetail?doc_id=2017031300715005" target="_blank"&gt;Verified by Public Record&lt;/a&gt;</t>
  </si>
  <si>
    <t>&lt;a href="http://a836-acris.nyc.gov/DS/DocumentSearch/DocumentDetail?doc_id=2017061900192001" target="_blank"&gt;Verified by Public Record&lt;/a&gt;</t>
  </si>
  <si>
    <t>&lt;a href="http://a836-acris.nyc.gov/DS/DocumentSearch/DocumentDetail?doc_id=2017121100389001" target="_blank"&gt;Verified by Public Record&lt;/a&gt;</t>
  </si>
  <si>
    <t>&lt;a href="http://a836-acris.nyc.gov/DS/DocumentSearch/DocumentDetail?doc_id=2020111800471004" target="_blank"&gt;Public Record Only&lt;/a&gt;</t>
  </si>
  <si>
    <t>&lt;a href="http://a836-acris.nyc.gov/DS/DocumentSearch/DocumentDetail?doc_id=2017103001033002" target="_blank"&gt;Verified by Public Record&lt;/a&gt;</t>
  </si>
  <si>
    <t>&lt;a href="http://a836-acris.nyc.gov/DS/DocumentSearch/DocumentDetail?doc_id=2017071700968001" target="_blank"&gt;Verified by Public Record&lt;/a&gt;</t>
  </si>
  <si>
    <t>&lt;a href="http://a836-acris.nyc.gov/DS/DocumentSearch/DocumentDetail?doc_id=2017050300483006" target="_blank"&gt;Verified by Public Record&lt;/a&gt;</t>
  </si>
  <si>
    <t>&lt;a href="http://a836-acris.nyc.gov/DS/DocumentSearch/DocumentDetail?doc_id=2017112101182001" target="_blank"&gt;Verified by Public Record&lt;/a&gt;</t>
  </si>
  <si>
    <t>&lt;a href="http://a836-acris.nyc.gov/DS/DocumentSearch/DocumentDetail?doc_id=2018012400162001" target="_blank"&gt;Verified by Public Record&lt;/a&gt;</t>
  </si>
  <si>
    <t>&lt;a href="http://a836-acris.nyc.gov/DS/DocumentSearch/DocumentDetail?doc_id=2020021800591001" target="_blank"&gt;Verified by Public Record&lt;/a&gt;</t>
  </si>
  <si>
    <t>&lt;a href="http://a836-acris.nyc.gov/DS/DocumentSearch/DocumentDetail?doc_id=2017091101122001" target="_blank"&gt;Verified by Public Record&lt;/a&gt;</t>
  </si>
  <si>
    <t>&lt;a href="http://a836-acris.nyc.gov/DS/DocumentSearch/DocumentDetail?doc_id=2018053100177001" target="_blank"&gt;Verified by Public Record&lt;/a&gt;</t>
  </si>
  <si>
    <t>&lt;a href="http://a836-acris.nyc.gov/DS/DocumentSearch/DocumentDetail?doc_id=2018042601104001" target="_blank"&gt;Verified by Public Record&lt;/a&gt;</t>
  </si>
  <si>
    <t>&lt;a href="http://a836-acris.nyc.gov/DS/DocumentSearch/DocumentDetail?doc_id=2018041000192002" target="_blank"&gt;Verified by Public Record&lt;/a&gt;</t>
  </si>
  <si>
    <t>&lt;a href="http://a836-acris.nyc.gov/DS/DocumentSearch/DocumentDetail?doc_id=2017042800292001" target="_blank"&gt;Verified by Public Record&lt;/a&gt;</t>
  </si>
  <si>
    <t>&lt;a href="http://a836-acris.nyc.gov/DS/DocumentSearch/DocumentDetail?doc_id=2019062000729001" target="_blank"&gt;Verified by Public Record&lt;/a&gt;</t>
  </si>
  <si>
    <t>&lt;a href="http://a836-acris.nyc.gov/DS/DocumentSearch/DocumentDetail?doc_id=2019020100273001" target="_blank"&gt;Verified by Public Record&lt;/a&gt;</t>
  </si>
  <si>
    <t>&lt;a href="http://a836-acris.nyc.gov/DS/DocumentSearch/DocumentDetail?doc_id=2018062601533001" target="_blank"&gt;Verified by Public Record&lt;/a&gt;</t>
  </si>
  <si>
    <t>&lt;a href="http://a836-acris.nyc.gov/DS/DocumentSearch/DocumentDetail?doc_id=2019050700529003" target="_blank"&gt;Verified by Public Record&lt;/a&gt;</t>
  </si>
  <si>
    <t>&lt;a href="http://a836-acris.nyc.gov/DS/DocumentSearch/DocumentDetail?doc_id=2019062800084001" target="_blank"&gt;Verified by Public Record&lt;/a&gt;</t>
  </si>
  <si>
    <t>&lt;a href="http://a836-acris.nyc.gov/DS/DocumentSearch/DocumentDetail?doc_id=2019070500204003" target="_blank"&gt;Verified by Public Record&lt;/a&gt;</t>
  </si>
  <si>
    <t>&lt;a href="http://a836-acris.nyc.gov/DS/DocumentSearch/DocumentDetail?doc_id=2018033000319001" target="_blank"&gt;Verified by Public Record&lt;/a&gt;</t>
  </si>
  <si>
    <t>&lt;a href="http://a836-acris.nyc.gov/DS/DocumentSearch/DocumentDetail?doc_id=2018051400393001" target="_blank"&gt;Verified by Public Record&lt;/a&gt;</t>
  </si>
  <si>
    <t>&lt;a href="http://a836-acris.nyc.gov/DS/DocumentSearch/DocumentDetail?doc_id=2019061301162001" target="_blank"&gt;Verified by Public Record&lt;/a&gt;</t>
  </si>
  <si>
    <t>Private Terrace
Private Wrap Around Terrace
Private Roof Deck
Common Outdoor Space
Private Outdoor Space</t>
  </si>
  <si>
    <t>&lt;a href="http://a836-acris.nyc.gov/DS/DocumentSearch/DocumentDetail?doc_id=2017040200017001" target="_blank"&gt;Verified by Public Record&lt;/a&gt;</t>
  </si>
  <si>
    <t>&lt;a href="http://a836-acris.nyc.gov/DS/DocumentSearch/DocumentDetail?doc_id=2021042900308001" target="_blank"&gt;Verified by Public Record&lt;/a&gt;</t>
  </si>
  <si>
    <t>&lt;a href="http://a836-acris.nyc.gov/DS/DocumentSearch/DocumentDetail?doc_id=2018052301060003" target="_blank"&gt;Verified by Public Record&lt;/a&gt;</t>
  </si>
  <si>
    <t>Private Terrace
Private Wrap Around Terrace
Deck
Common Roof Deck
Common Outdoor Space
Private Outdoor Space</t>
  </si>
  <si>
    <t>&lt;a href="http://a836-acris.nyc.gov/DS/DocumentSearch/DocumentDetail?doc_id=2019082900693001" target="_blank"&gt;Verified by Public Record&lt;/a&gt;</t>
  </si>
  <si>
    <t>&lt;a href="http://a836-acris.nyc.gov/DS/DocumentSearch/DocumentDetail?doc_id=2017041200647002" target="_blank"&gt;Verified by Public Record&lt;/a&gt;</t>
  </si>
  <si>
    <t>&lt;a href="http://a836-acris.nyc.gov/DS/DocumentSearch/DocumentDetail?doc_id=2017031300715001" target="_blank"&gt;Verified by Public Record&lt;/a&gt;</t>
  </si>
  <si>
    <t>&lt;a href="http://a836-acris.nyc.gov/DS/DocumentSearch/DocumentDetail?doc_id=2017031000467004" target="_blank"&gt;Verified by Public Record&lt;/a&gt;</t>
  </si>
  <si>
    <t>&lt;a href="http://a836-acris.nyc.gov/DS/DocumentSearch/DocumentDetail?doc_id=2017022700234002" target="_blank"&gt;Verified by Public Record&lt;/a&gt;</t>
  </si>
  <si>
    <t>&lt;a href="http://a836-acris.nyc.gov/DS/DocumentSearch/DocumentDetail?doc_id=2017031300715003" target="_blank"&gt;Verified by Public Record&lt;/a&gt;</t>
  </si>
  <si>
    <t>&lt;a href="http://a836-acris.nyc.gov/DS/DocumentSearch/DocumentDetail?doc_id=2017032900781001" target="_blank"&gt;Verified by Public Record&lt;/a&gt;</t>
  </si>
  <si>
    <t>&lt;a href="http://a836-acris.nyc.gov/DS/DocumentSearch/DocumentDetail?doc_id=2017022400318001" target="_blank"&gt;Verified by Public Record&lt;/a&gt;</t>
  </si>
  <si>
    <t>&lt;a href="http://a836-acris.nyc.gov/DS/DocumentSearch/DocumentDetail?doc_id=2017032200310001" target="_blank"&gt;Verified by Public Record&lt;/a&gt;</t>
  </si>
  <si>
    <t>&lt;a href="http://a836-acris.nyc.gov/DS/DocumentSearch/DocumentDetail?doc_id=2017033001101001" target="_blank"&gt;Verified by Public Record&lt;/a&gt;</t>
  </si>
  <si>
    <t>&lt;a href="http://a836-acris.nyc.gov/DS/DocumentSearch/DocumentDetail?doc_id=2017022101410001" target="_blank"&gt;Verified by Public Record&lt;/a&gt;</t>
  </si>
  <si>
    <t>&lt;a href="http://a836-acris.nyc.gov/DS/DocumentSearch/DocumentDetail?doc_id=2017022200346001" target="_blank"&gt;Verified by Public Record&lt;/a&gt;</t>
  </si>
  <si>
    <t>&lt;a href="http://a836-acris.nyc.gov/DS/DocumentSearch/DocumentDetail?doc_id=2019081501045001" target="_blank"&gt;Verified by Public Record&lt;/a&gt;</t>
  </si>
  <si>
    <t>&lt;a href="http://a836-acris.nyc.gov/DS/DocumentSearch/DocumentDetail?doc_id=2019091600974002" target="_blank"&gt;Verified by Public Record&lt;/a&gt;</t>
  </si>
  <si>
    <t>&lt;a href="http://a836-acris.nyc.gov/DS/DocumentSearch/DocumentDetail?doc_id=2019070101089001" target="_blank"&gt;Verified by Public Record&lt;/a&gt;</t>
  </si>
  <si>
    <t>&lt;a href="http://a836-acris.nyc.gov/DS/DocumentSearch/DocumentDetail?doc_id=2018101801374001" target="_blank"&gt;Verified by Public Record&lt;/a&gt;</t>
  </si>
  <si>
    <t>&lt;a href="http://a836-acris.nyc.gov/DS/DocumentSearch/DocumentDetail?doc_id=2017033100832001" target="_blank"&gt;Verified by Public Record&lt;/a&gt;</t>
  </si>
  <si>
    <t>&lt;a href="http://a836-acris.nyc.gov/DS/DocumentSearch/DocumentDetail?doc_id=2017040701152001" target="_blank"&gt;Verified by Public Record&lt;/a&gt;</t>
  </si>
  <si>
    <t>&lt;a href="http://a836-acris.nyc.gov/DS/DocumentSearch/DocumentDetail?doc_id=2017022701354003" target="_blank"&gt;Verified by Public Record&lt;/a&gt;</t>
  </si>
  <si>
    <t>&lt;a href="http://a836-acris.nyc.gov/DS/DocumentSearch/DocumentDetail?doc_id=2017041400648001" target="_blank"&gt;Verified by Public Record&lt;/a&gt;</t>
  </si>
  <si>
    <t>&lt;a href="http://a836-acris.nyc.gov/DS/DocumentSearch/DocumentDetail?doc_id=2017043000079002" target="_blank"&gt;Verified by Public Record&lt;/a&gt;</t>
  </si>
  <si>
    <t>&lt;a href="http://a836-acris.nyc.gov/DS/DocumentSearch/DocumentDetail?doc_id=2017030200199002" target="_blank"&gt;Verified by Public Record&lt;/a&gt;</t>
  </si>
  <si>
    <t>&lt;a href="http://a836-acris.nyc.gov/DS/DocumentSearch/DocumentDetail?doc_id=2017042500872001" target="_blank"&gt;Verified by Public Record&lt;/a&gt;</t>
  </si>
  <si>
    <t>&lt;a href="http://a836-acris.nyc.gov/DS/DocumentSearch/DocumentDetail?doc_id=2017060600460001" target="_blank"&gt;Verified by Public Record&lt;/a&gt;</t>
  </si>
  <si>
    <t>&lt;a href="http://a836-acris.nyc.gov/DS/DocumentSearch/DocumentDetail?doc_id=2017030900158003" target="_blank"&gt;Verified by Public Record&lt;/a&gt;</t>
  </si>
  <si>
    <t>&lt;a href="http://a836-acris.nyc.gov/DS/DocumentSearch/DocumentDetail?doc_id=2018061500558002" target="_blank"&gt;Verified by Public Record&lt;/a&gt;</t>
  </si>
  <si>
    <t>&lt;a href="http://a836-acris.nyc.gov/DS/DocumentSearch/DocumentDetail?doc_id=2020122400178001" target="_blank"&gt;Public Record Only&lt;/a&gt;</t>
  </si>
  <si>
    <t>&lt;a href="http://a836-acris.nyc.gov/DS/DocumentSearch/DocumentDetail?doc_id=2020071400722001" target="_blank"&gt;Public Record Only&lt;/a&gt;</t>
  </si>
  <si>
    <t>&lt;a href="http://a836-acris.nyc.gov/DS/DocumentSearch/DocumentDetail?doc_id=2018101200432003" target="_blank"&gt;Verified by Public Record&lt;/a&gt;</t>
  </si>
  <si>
    <t>&lt;a href="http://a836-acris.nyc.gov/DS/DocumentSearch/DocumentDetail?doc_id=2019050700253003" target="_blank"&gt;Public Record Only&lt;/a&gt;</t>
  </si>
  <si>
    <t>&lt;a href="http://a836-acris.nyc.gov/DS/DocumentSearch/DocumentDetail?doc_id=2017062600958001" target="_blank"&gt;Public Record Only&lt;/a&gt;</t>
  </si>
  <si>
    <t>&lt;a href="http://a836-acris.nyc.gov/DS/DocumentSearch/DocumentDetail?doc_id=2020041300226001" target="_blank"&gt;Public Record Only&lt;/a&gt;</t>
  </si>
  <si>
    <t>&lt;a href="http://a836-acris.nyc.gov/DS/DocumentSearch/DocumentDetail?doc_id=2021080400638001" target="_blank"&gt;Public Record Only&lt;/a&gt;</t>
  </si>
  <si>
    <t>&lt;a href="http://a836-acris.nyc.gov/DS/DocumentSearch/DocumentDetail?doc_id=2016080300727001" target="_blank"&gt;Public Record Only&lt;/a&gt;</t>
  </si>
  <si>
    <t>&lt;a href="http://a836-acris.nyc.gov/DS/DocumentSearch/DocumentDetail?doc_id=2015111700146001" target="_blank"&gt;Verified by Public Record&lt;/a&gt;</t>
  </si>
  <si>
    <t>&lt;a href="http://a836-acris.nyc.gov/DS/DocumentSearch/DocumentDetail?doc_id=2020122400065001" target="_blank"&gt;Public Record Only&lt;/a&gt;</t>
  </si>
  <si>
    <t>&lt;a href="http://a836-acris.nyc.gov/DS/DocumentSearch/DocumentDetail?doc_id=2018112800588001" target="_blank"&gt;Public Record Only&lt;/a&gt;</t>
  </si>
  <si>
    <t>&lt;a href="http://a836-acris.nyc.gov/DS/DocumentSearch/DocumentDetail?doc_id=2015051200558002" target="_blank"&gt;Verified by Public Record&lt;/a&gt;</t>
  </si>
  <si>
    <t>&lt;a href="http://a836-acris.nyc.gov/DS/DocumentSearch/DocumentDetail?doc_id=2019010700563003" target="_blank"&gt;Verified by Public Record&lt;/a&gt;</t>
  </si>
  <si>
    <t>&lt;a href="http://a836-acris.nyc.gov/DS/DocumentSearch/DocumentDetail?doc_id=2015032600704001" target="_blank"&gt;Verified by Public Record&lt;/a&gt;</t>
  </si>
  <si>
    <t>&lt;a href="http://a836-acris.nyc.gov/DS/DocumentSearch/DocumentDetail?doc_id=2019120700023001" target="_blank"&gt;Public Record Only&lt;/a&gt;</t>
  </si>
  <si>
    <t>&lt;a href="http://a836-acris.nyc.gov/DS/DocumentSearch/DocumentDetail?doc_id=2016071400055001" target="_blank"&gt;Public Record Only&lt;/a&gt;</t>
  </si>
  <si>
    <t>&lt;a href="http://a836-acris.nyc.gov/DS/DocumentSearch/DocumentDetail?doc_id=2019111201626004" target="_blank"&gt;Public Record Only&lt;/a&gt;</t>
  </si>
  <si>
    <t>&lt;a href="http://a836-acris.nyc.gov/DS/DocumentSearch/DocumentDetail?doc_id=2019111000045001" target="_blank"&gt;Public Record Only&lt;/a&gt;</t>
  </si>
  <si>
    <t>&lt;a href="http://a836-acris.nyc.gov/DS/DocumentSearch/DocumentDetail?doc_id=2019121200446001" target="_blank"&gt;Public Record Only&lt;/a&gt;</t>
  </si>
  <si>
    <t>&lt;a href="http://a836-acris.nyc.gov/DS/DocumentSearch/DocumentDetail?doc_id=2019120401206002" target="_blank"&gt;Public Record Only&lt;/a&gt;</t>
  </si>
  <si>
    <t>&lt;a href="http://a836-acris.nyc.gov/DS/DocumentSearch/DocumentDetail?doc_id=2021040200283001" target="_blank"&gt;Verified by Public Record&lt;/a&gt;</t>
  </si>
  <si>
    <t>&lt;a href="http://a836-acris.nyc.gov/DS/DocumentSearch/DocumentDetail?doc_id=2019100200354001" target="_blank"&gt;Verified by Public Record&lt;/a&gt;</t>
  </si>
  <si>
    <t>&lt;a href="http://a836-acris.nyc.gov/DS/DocumentSearch/DocumentDetail?doc_id=2019101700854001" target="_blank"&gt;Verified by Public Record&lt;/a&gt;</t>
  </si>
  <si>
    <t>&lt;a href="http://a836-acris.nyc.gov/DS/DocumentSearch/DocumentDetail?doc_id=2019102500765001" target="_blank"&gt;Verified by Public Record&lt;/a&gt;</t>
  </si>
  <si>
    <t>&lt;a href="http://a836-acris.nyc.gov/DS/DocumentSearch/DocumentDetail?doc_id=2019111500746001" target="_blank"&gt;Public Record Only&lt;/a&gt;</t>
  </si>
  <si>
    <t>&lt;a href="http://a836-acris.nyc.gov/DS/DocumentSearch/DocumentDetail?doc_id=2019110800146001" target="_blank"&gt;Public Record Only&lt;/a&gt;</t>
  </si>
  <si>
    <t>&lt;a href="http://a836-acris.nyc.gov/DS/DocumentSearch/DocumentDetail?doc_id=2021051101487001" target="_blank"&gt;Public Record Only&lt;/a&gt;</t>
  </si>
  <si>
    <t>&lt;a href="http://a836-acris.nyc.gov/DS/DocumentSearch/DocumentDetail?doc_id=2020062400509001" target="_blank"&gt;Public Record Only&lt;/a&gt;</t>
  </si>
  <si>
    <t>&lt;a href="http://a836-acris.nyc.gov/DS/DocumentSearch/DocumentDetail?doc_id=2020091800686001" target="_blank"&gt;Public Record Only&lt;/a&gt;</t>
  </si>
  <si>
    <t>Kips Bay</t>
  </si>
  <si>
    <t>&lt;a href="http://a836-acris.nyc.gov/DS/DocumentSearch/DocumentDetail?doc_id=2019082200128001" target="_blank"&gt;Verified by Public Record&lt;/a&gt;</t>
  </si>
  <si>
    <t>&lt;a href="http://a836-acris.nyc.gov/DS/DocumentSearch/DocumentDetail?doc_id=2019101100265009" target="_blank"&gt;Verified by Public Record&lt;/a&gt;</t>
  </si>
  <si>
    <t>&lt;a href="http://a836-acris.nyc.gov/DS/DocumentSearch/DocumentDetail?doc_id=2019101001080001" target="_blank"&gt;Verified by Public Record&lt;/a&gt;</t>
  </si>
  <si>
    <t>&lt;a href="http://a836-acris.nyc.gov/DS/DocumentSearch/DocumentDetail?doc_id=2019100200794001" target="_blank"&gt;Verified by Public Record&lt;/a&gt;</t>
  </si>
  <si>
    <t>&lt;a href="http://a836-acris.nyc.gov/DS/DocumentSearch/DocumentDetail?doc_id=2021031701113001" target="_blank"&gt;Verified by Public Record&lt;/a&gt;</t>
  </si>
  <si>
    <t>&lt;a href="http://a836-acris.nyc.gov/DS/DocumentSearch/DocumentDetail?doc_id=2019082300436001" target="_blank"&gt;Public Record Only&lt;/a&gt;</t>
  </si>
  <si>
    <t>&lt;a href="http://a836-acris.nyc.gov/DS/DocumentSearch/DocumentDetail?doc_id=2019112001403004" target="_blank"&gt;Public Record Only&lt;/a&gt;</t>
  </si>
  <si>
    <t>&lt;a href="http://a836-acris.nyc.gov/DS/DocumentSearch/DocumentDetail?doc_id=2019111800957001" target="_blank"&gt;Public Record Only&lt;/a&gt;</t>
  </si>
  <si>
    <t>&lt;a href="http://a836-acris.nyc.gov/DS/DocumentSearch/DocumentDetail?doc_id=2021041901695001" target="_blank"&gt;Public Record Only&lt;/a&gt;</t>
  </si>
  <si>
    <t>&lt;a href="http://a836-acris.nyc.gov/DS/DocumentSearch/DocumentDetail?doc_id=2018120301028002" target="_blank"&gt;Verified by Public Record&lt;/a&gt;</t>
  </si>
  <si>
    <t>&lt;a href="http://a836-acris.nyc.gov/DS/DocumentSearch/DocumentDetail?doc_id=2020061100164003" target="_blank"&gt;Verified by Public Record&lt;/a&gt;</t>
  </si>
  <si>
    <t>&lt;a href="http://a836-acris.nyc.gov/DS/DocumentSearch/DocumentDetail?doc_id=2018112400025001" target="_blank"&gt;Verified by Public Record&lt;/a&gt;</t>
  </si>
  <si>
    <t>Private Terrace
Roof Deck
Private Outdoor Space</t>
  </si>
  <si>
    <t>&lt;a href="http://a836-acris.nyc.gov/DS/DocumentSearch/DocumentDetail?doc_id=2021010600383001" target="_blank"&gt;Public Record Only&lt;/a&gt;</t>
  </si>
  <si>
    <t>&lt;a href="http://a836-acris.nyc.gov/DS/DocumentSearch/DocumentDetail?doc_id=2019101800894002" target="_blank"&gt;Public Record Only&lt;/a&gt;</t>
  </si>
  <si>
    <t>&lt;a href="http://a836-acris.nyc.gov/DS/DocumentSearch/DocumentDetail?doc_id=2019103000575001" target="_blank"&gt;Public Record Only&lt;/a&gt;</t>
  </si>
  <si>
    <t>&lt;a href="http://a836-acris.nyc.gov/DS/DocumentSearch/DocumentDetail?doc_id=2019123100529001" target="_blank"&gt;Public Record Only&lt;/a&gt;</t>
  </si>
  <si>
    <t>&lt;a href="http://a836-acris.nyc.gov/DS/DocumentSearch/DocumentDetail?doc_id=2015050600453001" target="_blank"&gt;Verified by Public Record&lt;/a&gt;</t>
  </si>
  <si>
    <t>Balcony
Private Roof Deck
Common Outdoor Space</t>
  </si>
  <si>
    <t>&lt;a href="http://a836-acris.nyc.gov/DS/DocumentSearch/DocumentDetail?doc_id=2019100800681001" target="_blank"&gt;Public Record Only&lt;/a&gt;</t>
  </si>
  <si>
    <t>&lt;a href="http://a836-acris.nyc.gov/DS/DocumentSearch/DocumentDetail?doc_id=2015032500276001" target="_blank"&gt;Verified by Public Record&lt;/a&gt;</t>
  </si>
  <si>
    <t>Private Roof Deck
Common Outdoor Space</t>
  </si>
  <si>
    <t>&lt;a href="http://a836-acris.nyc.gov/DS/DocumentSearch/DocumentDetail?doc_id=2019040500530001" target="_blank"&gt;Public Record Only&lt;/a&gt;</t>
  </si>
  <si>
    <t>&lt;a href="http://a836-acris.nyc.gov/DS/DocumentSearch/DocumentDetail?doc_id=2013110101199001" target="_blank"&gt;Public Record Only&lt;/a&gt;</t>
  </si>
  <si>
    <t>&lt;a href="http://a836-acris.nyc.gov/DS/DocumentSearch/DocumentDetail?doc_id=2014092300895001" target="_blank"&gt;Verified by Public Record&lt;/a&gt;</t>
  </si>
  <si>
    <t>&lt;a href="http://a836-acris.nyc.gov/DS/DocumentSearch/DocumentDetail?doc_id=2018081301129001" target="_blank"&gt;Verified by Public Record&lt;/a&gt;</t>
  </si>
  <si>
    <t>&lt;a href="http://a836-acris.nyc.gov/DS/DocumentSearch/DocumentDetail?doc_id=2018102900993001" target="_blank"&gt;Verified by Public Record&lt;/a&gt;</t>
  </si>
  <si>
    <t>&lt;a href="http://a836-acris.nyc.gov/DS/DocumentSearch/DocumentDetail?doc_id=2019050700165001" target="_blank"&gt;Verified by Public Record&lt;/a&gt;</t>
  </si>
  <si>
    <t>&lt;a href="http://a836-acris.nyc.gov/DS/DocumentSearch/DocumentDetail?doc_id=2016012900453002" target="_blank"&gt;Verified by Public Record&lt;/a&gt;</t>
  </si>
  <si>
    <t>&lt;a href="http://a836-acris.nyc.gov/DS/DocumentSearch/DocumentDetail?doc_id=2020042400371001" target="_blank"&gt;Verified by Public Record&lt;/a&gt;</t>
  </si>
  <si>
    <t>Balcony
Private Terrace
Common Roof Deck
Private Outdoor Space</t>
  </si>
  <si>
    <t>&lt;a href="http://a836-acris.nyc.gov/DS/DocumentSearch/DocumentDetail?doc_id=2015050400311001" target="_blank"&gt;Public Record Only&lt;/a&gt;</t>
  </si>
  <si>
    <t>&lt;a href="http://a836-acris.nyc.gov/DS/DocumentSearch/DocumentDetail?doc_id=2014120200625002" target="_blank"&gt;Verified by Public Record&lt;/a&gt;</t>
  </si>
  <si>
    <t>&lt;a href="http://a836-acris.nyc.gov/DS/DocumentSearch/DocumentDetail?doc_id=2021031700726002" target="_blank"&gt;Public Record Only&lt;/a&gt;</t>
  </si>
  <si>
    <t>&lt;a href="http://a836-acris.nyc.gov/DS/DocumentSearch/DocumentDetail?doc_id=2019042300272001" target="_blank"&gt;Verified by Public Record&lt;/a&gt;</t>
  </si>
  <si>
    <t>Balcony
Roof Deck
Common Roof Deck
Barbecue Area
Private Outdoor Space</t>
  </si>
  <si>
    <t>&lt;a href="http://a836-acris.nyc.gov/DS/DocumentSearch/DocumentDetail?doc_id=2019050900819002" target="_blank"&gt;Verified by Public Record&lt;/a&gt;</t>
  </si>
  <si>
    <t>&lt;a href="http://a836-acris.nyc.gov/DS/DocumentSearch/DocumentDetail?doc_id=2019121700368001" target="_blank"&gt;Public Record Only&lt;/a&gt;</t>
  </si>
  <si>
    <t>&lt;a href="http://a836-acris.nyc.gov/DS/DocumentSearch/DocumentDetail?doc_id=2019092601115003" target="_blank"&gt;Public Record Only&lt;/a&gt;</t>
  </si>
  <si>
    <t>&lt;a href="http://a836-acris.nyc.gov/DS/DocumentSearch/DocumentDetail?doc_id=2019042500139001" target="_blank"&gt;Verified by Public Record&lt;/a&gt;</t>
  </si>
  <si>
    <t>Balcony
Patio
Deck
Roof Deck
Common Roof Deck
Barbecue Area
Private Outdoor Space</t>
  </si>
  <si>
    <t>&lt;a href="http://a836-acris.nyc.gov/DS/DocumentSearch/DocumentDetail?doc_id=2019050200001001" target="_blank"&gt;Verified by Public Record&lt;/a&gt;</t>
  </si>
  <si>
    <t>&lt;a href="http://a836-acris.nyc.gov/DS/DocumentSearch/DocumentDetail?doc_id=2019041801297001" target="_blank"&gt;Verified by Public Record&lt;/a&gt;</t>
  </si>
  <si>
    <t>&lt;a href="http://a836-acris.nyc.gov/DS/DocumentSearch/DocumentDetail?doc_id=2019071600191001" target="_blank"&gt;Verified by Public Record&lt;/a&gt;</t>
  </si>
  <si>
    <t>Balcony
Private Terrace
Patio
Roof Deck
Common Roof Deck
Barbecue Area</t>
  </si>
  <si>
    <t>&lt;a href="http://a836-acris.nyc.gov/DS/DocumentSearch/DocumentDetail?doc_id=2019041600881001" target="_blank"&gt;Verified by Public Record&lt;/a&gt;</t>
  </si>
  <si>
    <t>&lt;a href="http://a836-acris.nyc.gov/DS/DocumentSearch/DocumentDetail?doc_id=2019041800276001" target="_blank"&gt;Verified by Public Record&lt;/a&gt;</t>
  </si>
  <si>
    <t>&lt;a href="http://a836-acris.nyc.gov/DS/DocumentSearch/DocumentDetail?doc_id=2019050601090001" target="_blank"&gt;Verified by Public Record&lt;/a&gt;</t>
  </si>
  <si>
    <t>&lt;a href="http://a836-acris.nyc.gov/DS/DocumentSearch/DocumentDetail?doc_id=2019042900963001" target="_blank"&gt;Verified by Public Record&lt;/a&gt;</t>
  </si>
  <si>
    <t>&lt;a href="http://a836-acris.nyc.gov/DS/DocumentSearch/DocumentDetail?doc_id=2019050800618001" target="_blank"&gt;Verified by Public Record&lt;/a&gt;</t>
  </si>
  <si>
    <t>Balcony
Private Terrace
Patio
Roof Deck
Common Roof Deck
Barbecue Area
Private Outdoor Space</t>
  </si>
  <si>
    <t>&lt;a href="http://a836-acris.nyc.gov/DS/DocumentSearch/DocumentDetail?doc_id=2019061800402002" target="_blank"&gt;Verified by Public Record&lt;/a&gt;</t>
  </si>
  <si>
    <t>&lt;a href="http://a836-acris.nyc.gov/DS/DocumentSearch/DocumentDetail?doc_id=2021081000638001" target="_blank"&gt;Verified by Public Record&lt;/a&gt;</t>
  </si>
  <si>
    <t>&lt;a href="http://a836-acris.nyc.gov/DS/DocumentSearch/DocumentDetail?doc_id=2015060401499001" target="_blank"&gt;Public Record Only&lt;/a&gt;</t>
  </si>
  <si>
    <t>&lt;a href="http://a836-acris.nyc.gov/DS/DocumentSearch/DocumentDetail?doc_id=2015102100302001" target="_blank"&gt;Verified by Public Record&lt;/a&gt;</t>
  </si>
  <si>
    <t>Balcony
Deck
Common Roof Deck
Private Outdoor Space</t>
  </si>
  <si>
    <t>&lt;a href="http://a836-acris.nyc.gov/DS/DocumentSearch/DocumentDetail?doc_id=2019050900471001" target="_blank"&gt;Verified by Public Record&lt;/a&gt;</t>
  </si>
  <si>
    <t>Private Terrace
Roof Deck
Common Roof Deck
Barbecue Area
Common Outdoor Space
Private Outdoor Space</t>
  </si>
  <si>
    <t>&lt;a href="http://a836-acris.nyc.gov/DS/DocumentSearch/DocumentDetail?doc_id=2021062900551001" target="_blank"&gt;Verified by Public Record&lt;/a&gt;</t>
  </si>
  <si>
    <t>&lt;a href="http://a836-acris.nyc.gov/DS/DocumentSearch/DocumentDetail?doc_id=2020033100511001" target="_blank"&gt;Verified by Public Record&lt;/a&gt;</t>
  </si>
  <si>
    <t>&lt;a href="http://a836-acris.nyc.gov/DS/DocumentSearch/DocumentDetail?doc_id=2021052800818001" target="_blank"&gt;Verified by Public Record&lt;/a&gt;</t>
  </si>
  <si>
    <t>&lt;a href="http://a836-acris.nyc.gov/DS/DocumentSearch/DocumentDetail?doc_id=2021012501174001" target="_blank"&gt;Verified by Public Record&lt;/a&gt;</t>
  </si>
  <si>
    <t>&lt;a href="http://a836-acris.nyc.gov/DS/DocumentSearch/DocumentDetail?doc_id=2018052900736001" target="_blank"&gt;Verified by Public Record&lt;/a&gt;</t>
  </si>
  <si>
    <t>&lt;a href="http://a836-acris.nyc.gov/DS/DocumentSearch/DocumentDetail?doc_id=2018122800408001" target="_blank"&gt;Verified by Public Record&lt;/a&gt;</t>
  </si>
  <si>
    <t>&lt;a href="http://a836-acris.nyc.gov/DS/DocumentSearch/DocumentDetail?doc_id=2018122100637001" target="_blank"&gt;Verified by Public Record&lt;/a&gt;</t>
  </si>
  <si>
    <t>&lt;a href="http://a836-acris.nyc.gov/DS/DocumentSearch/DocumentDetail?doc_id=2018072600074002" target="_blank"&gt;Verified by Public Record&lt;/a&gt;</t>
  </si>
  <si>
    <t>&lt;a href="http://a836-acris.nyc.gov/DS/DocumentSearch/DocumentDetail?doc_id=2020042700440001" target="_blank"&gt;Verified by Public Record&lt;/a&gt;</t>
  </si>
  <si>
    <t>&lt;a href="http://a836-acris.nyc.gov/DS/DocumentSearch/DocumentDetail?doc_id=2018081700998003" target="_blank"&gt;Verified by Public Record&lt;/a&gt;</t>
  </si>
  <si>
    <t>&lt;a href="http://a836-acris.nyc.gov/DS/DocumentSearch/DocumentDetail?doc_id=2018070300345003" target="_blank"&gt;Verified by Public Record&lt;/a&gt;</t>
  </si>
  <si>
    <t>&lt;a href="http://a836-acris.nyc.gov/DS/DocumentSearch/DocumentDetail?doc_id=2021042100924001" target="_blank"&gt;Verified by Public Record&lt;/a&gt;</t>
  </si>
  <si>
    <t>&lt;a href="http://a836-acris.nyc.gov/DS/DocumentSearch/DocumentDetail?doc_id=2021031200443001" target="_blank"&gt;Verified by Public Record&lt;/a&gt;</t>
  </si>
  <si>
    <t>&lt;a href="http://a836-acris.nyc.gov/DS/DocumentSearch/DocumentDetail?doc_id=2019020100138003" target="_blank"&gt;Verified by Public Record&lt;/a&gt;</t>
  </si>
  <si>
    <t>&lt;a href="http://a836-acris.nyc.gov/DS/DocumentSearch/DocumentDetail?doc_id=2018050900330001" target="_blank"&gt;Verified by Public Record&lt;/a&gt;</t>
  </si>
  <si>
    <t>&lt;a href="http://a836-acris.nyc.gov/DS/DocumentSearch/DocumentDetail?doc_id=2018111600422001" target="_blank"&gt;Verified by Public Record&lt;/a&gt;</t>
  </si>
  <si>
    <t>&lt;a href="http://a836-acris.nyc.gov/DS/DocumentSearch/DocumentDetail?doc_id=2018083100771001" target="_blank"&gt;Verified by Public Record&lt;/a&gt;</t>
  </si>
  <si>
    <t>&lt;a href="http://a836-acris.nyc.gov/DS/DocumentSearch/DocumentDetail?doc_id=2019060400423001" target="_blank"&gt;Verified by Public Record&lt;/a&gt;</t>
  </si>
  <si>
    <t>&lt;a href="http://a836-acris.nyc.gov/DS/DocumentSearch/DocumentDetail?doc_id=2020040100060002" target="_blank"&gt;Verified by Public Record&lt;/a&gt;</t>
  </si>
  <si>
    <t>&lt;a href="http://a836-acris.nyc.gov/DS/DocumentSearch/DocumentDetail?doc_id=2020100900580001" target="_blank"&gt;Verified by Public Record&lt;/a&gt;</t>
  </si>
  <si>
    <t>&lt;a href="http://a836-acris.nyc.gov/DS/DocumentSearch/DocumentDetail?doc_id=2018050700980002" target="_blank"&gt;Verified by Public Record&lt;/a&gt;</t>
  </si>
  <si>
    <t>&lt;a href="http://a836-acris.nyc.gov/DS/DocumentSearch/DocumentDetail?doc_id=2018050400869001" target="_blank"&gt;Verified by Public Record&lt;/a&gt;</t>
  </si>
  <si>
    <t>&lt;a href="http://a836-acris.nyc.gov/DS/DocumentSearch/DocumentDetail?doc_id=2021041300229001" target="_blank"&gt;Verified by Public Record&lt;/a&gt;</t>
  </si>
  <si>
    <t>&lt;a href="http://a836-acris.nyc.gov/DS/DocumentSearch/DocumentDetail?doc_id=2019060500992001" target="_blank"&gt;Verified by Public Record&lt;/a&gt;</t>
  </si>
  <si>
    <t>&lt;a href="http://a836-acris.nyc.gov/DS/DocumentSearch/DocumentDetail?doc_id=2019112100489001" target="_blank"&gt;Verified by Public Record&lt;/a&gt;</t>
  </si>
  <si>
    <t>&lt;a href="http://a836-acris.nyc.gov/DS/DocumentSearch/DocumentDetail?doc_id=2018060400967003" target="_blank"&gt;Verified by Public Record&lt;/a&gt;</t>
  </si>
  <si>
    <t>&lt;a href="http://a836-acris.nyc.gov/DS/DocumentSearch/DocumentDetail?doc_id=2018051101071002" target="_blank"&gt;Verified by Public Record&lt;/a&gt;</t>
  </si>
  <si>
    <t>&lt;a href="http://a836-acris.nyc.gov/DS/DocumentSearch/DocumentDetail?doc_id=2018052400161005" target="_blank"&gt;Verified by Public Record&lt;/a&gt;</t>
  </si>
  <si>
    <t>&lt;a href="http://a836-acris.nyc.gov/DS/DocumentSearch/DocumentDetail?doc_id=2019082200486004" target="_blank"&gt;Verified by Public Record&lt;/a&gt;</t>
  </si>
  <si>
    <t>&lt;a href="http://a836-acris.nyc.gov/DS/DocumentSearch/DocumentDetail?doc_id=2016062201317001" target="_blank"&gt;Public Record Only&lt;/a&gt;</t>
  </si>
  <si>
    <t>Balcony
Juliet Balcony
Private Yard
Common Roof Deck
Private Outdoor Space</t>
  </si>
  <si>
    <t>&lt;a href="http://a836-acris.nyc.gov/DS/DocumentSearch/DocumentDetail?doc_id=2019042600886001" target="_blank"&gt;Verified by Public Record&lt;/a&gt;</t>
  </si>
  <si>
    <t>&lt;a href="http://a836-acris.nyc.gov/DS/DocumentSearch/DocumentDetail?doc_id=2020110500885001" target="_blank"&gt;Public Record Only&lt;/a&gt;</t>
  </si>
  <si>
    <t>&lt;a href="http://a836-acris.nyc.gov/DS/DocumentSearch/DocumentDetail?doc_id=2019041201047002" target="_blank"&gt;Verified by Public Record&lt;/a&gt;</t>
  </si>
  <si>
    <t>&lt;a href="http://a836-acris.nyc.gov/DS/DocumentSearch/DocumentDetail?doc_id=2019091100128001" target="_blank"&gt;Verified by Public Record&lt;/a&gt;</t>
  </si>
  <si>
    <t>&lt;a href="http://a836-acris.nyc.gov/DS/DocumentSearch/DocumentDetail?doc_id=2019101700135001" target="_blank"&gt;Verified by Public Record&lt;/a&gt;</t>
  </si>
  <si>
    <t>Private Wrap Around Terrace
Roof Deck
Common Roof Deck
Common Outdoor Space</t>
  </si>
  <si>
    <t>&lt;a href="http://a836-acris.nyc.gov/DS/DocumentSearch/DocumentDetail?doc_id=2021071200544001" target="_blank"&gt;Verified by Public Record&lt;/a&gt;</t>
  </si>
  <si>
    <t>&lt;a href="http://a836-acris.nyc.gov/DS/DocumentSearch/DocumentDetail?doc_id=2016071100777001" target="_blank"&gt;Verified by Public Record&lt;/a&gt;</t>
  </si>
  <si>
    <t>&lt;a href="http://a836-acris.nyc.gov/DS/DocumentSearch/DocumentDetail?doc_id=2021081000528001" target="_blank"&gt;Verified by Public Record&lt;/a&gt;</t>
  </si>
  <si>
    <t>&lt;a href="http://a836-acris.nyc.gov/DS/DocumentSearch/DocumentDetail?doc_id=2016031800045001" target="_blank"&gt;Verified by Public Record&lt;/a&gt;</t>
  </si>
  <si>
    <t>&lt;a href="http://a836-acris.nyc.gov/DS/DocumentSearch/DocumentDetail?doc_id=2016091501116001" target="_blank"&gt;Verified by Public Record&lt;/a&gt;</t>
  </si>
  <si>
    <t>&lt;a href="http://a836-acris.nyc.gov/DS/DocumentSearch/DocumentDetail?doc_id=2018061100957002" target="_blank"&gt;Verified by Public Record&lt;/a&gt;</t>
  </si>
  <si>
    <t>&lt;a href="http://a836-acris.nyc.gov/DS/DocumentSearch/DocumentDetail?doc_id=2016110701444001" target="_blank"&gt;Verified by Public Record&lt;/a&gt;</t>
  </si>
  <si>
    <t>&lt;a href="http://a836-acris.nyc.gov/DS/DocumentSearch/DocumentDetail?doc_id=2020070800767003" target="_blank"&gt;Verified by Public Record&lt;/a&gt;</t>
  </si>
  <si>
    <t>&lt;a href="http://a836-acris.nyc.gov/DS/DocumentSearch/DocumentDetail?doc_id=2019121900405002" target="_blank"&gt;Verified by Public Record&lt;/a&gt;</t>
  </si>
  <si>
    <t>&lt;a href="http://a836-acris.nyc.gov/DS/DocumentSearch/DocumentDetail?doc_id=2018060501065002" target="_blank"&gt;Verified by Public Record&lt;/a&gt;</t>
  </si>
  <si>
    <t>&lt;a href="http://a836-acris.nyc.gov/DS/DocumentSearch/DocumentDetail?doc_id=2018053000465001" target="_blank"&gt;Verified by Public Record&lt;/a&gt;</t>
  </si>
  <si>
    <t>&lt;a href="http://a836-acris.nyc.gov/DS/DocumentSearch/DocumentDetail?doc_id=2018060100761001" target="_blank"&gt;Verified by Public Record&lt;/a&gt;</t>
  </si>
  <si>
    <t>&lt;a href="http://a836-acris.nyc.gov/DS/DocumentSearch/DocumentDetail?doc_id=2021070801245003" target="_blank"&gt;Verified by Public Record&lt;/a&gt;</t>
  </si>
  <si>
    <t>&lt;a href="http://a836-acris.nyc.gov/DS/DocumentSearch/DocumentDetail?doc_id=2018071600769001" target="_blank"&gt;Verified by Public Record&lt;/a&gt;</t>
  </si>
  <si>
    <t>&lt;a href="http://a836-acris.nyc.gov/DS/DocumentSearch/DocumentDetail?doc_id=2019062300059001" target="_blank"&gt;Verified by Public Record&lt;/a&gt;</t>
  </si>
  <si>
    <t>&lt;a href="http://a836-acris.nyc.gov/DS/DocumentSearch/DocumentDetail?doc_id=2017101300187001" target="_blank"&gt;Verified by Public Record&lt;/a&gt;</t>
  </si>
  <si>
    <t>&lt;a href="http://a836-acris.nyc.gov/DS/DocumentSearch/DocumentDetail?doc_id=2018051700309002" target="_blank"&gt;Public Record Only&lt;/a&gt;</t>
  </si>
  <si>
    <t>&lt;a href="http://a836-acris.nyc.gov/DS/DocumentSearch/DocumentDetail?doc_id=2018051600432001" target="_blank"&gt;Verified by Public Record&lt;/a&gt;</t>
  </si>
  <si>
    <t>&lt;a href="http://a836-acris.nyc.gov/DS/DocumentSearch/DocumentDetail?doc_id=2017072100292001" target="_blank"&gt;Verified by Public Record&lt;/a&gt;</t>
  </si>
  <si>
    <t>&lt;a href="http://a836-acris.nyc.gov/DS/DocumentSearch/DocumentDetail?doc_id=2017071400399003" target="_blank"&gt;Verified by Public Record&lt;/a&gt;</t>
  </si>
  <si>
    <t>&lt;a href="http://a836-acris.nyc.gov/DS/DocumentSearch/DocumentDetail?doc_id=2017071800019001" target="_blank"&gt;Verified by Public Record&lt;/a&gt;</t>
  </si>
  <si>
    <t>&lt;a href="http://a836-acris.nyc.gov/DS/DocumentSearch/DocumentDetail?doc_id=2017071901060002" target="_blank"&gt;Verified by Public Record&lt;/a&gt;</t>
  </si>
  <si>
    <t>&lt;a href="http://a836-acris.nyc.gov/DS/DocumentSearch/DocumentDetail?doc_id=2017072000495006" target="_blank"&gt;Verified by Public Record&lt;/a&gt;</t>
  </si>
  <si>
    <t>&lt;a href="http://a836-acris.nyc.gov/DS/DocumentSearch/DocumentDetail?doc_id=2017111600100001" target="_blank"&gt;Verified by Public Record&lt;/a&gt;</t>
  </si>
  <si>
    <t>&lt;a href="http://a836-acris.nyc.gov/DS/DocumentSearch/DocumentDetail?doc_id=2017082900507001" target="_blank"&gt;Verified by Public Record&lt;/a&gt;</t>
  </si>
  <si>
    <t>&lt;a href="http://a836-acris.nyc.gov/DS/DocumentSearch/DocumentDetail?doc_id=2017071201255003" target="_blank"&gt;Verified by Public Record&lt;/a&gt;</t>
  </si>
  <si>
    <t>&lt;a href="http://a836-acris.nyc.gov/DS/DocumentSearch/DocumentDetail?doc_id=2017080100088001" target="_blank"&gt;Verified by Public Record&lt;/a&gt;</t>
  </si>
  <si>
    <t>&lt;a href="http://a836-acris.nyc.gov/DS/DocumentSearch/DocumentDetail?doc_id=2019062500250001" target="_blank"&gt;Verified by Public Record&lt;/a&gt;</t>
  </si>
  <si>
    <t>Deck
Roof Deck
Common Roof Deck
Common Garden</t>
  </si>
  <si>
    <t>&lt;a href="http://a836-acris.nyc.gov/DS/DocumentSearch/DocumentDetail?doc_id=2018011900526001" target="_blank"&gt;Verified by Public Record&lt;/a&gt;</t>
  </si>
  <si>
    <t>&lt;a href="http://a836-acris.nyc.gov/DS/DocumentSearch/DocumentDetail?doc_id=2020081700698002" target="_blank"&gt;Verified by Public Record&lt;/a&gt;</t>
  </si>
  <si>
    <t>&lt;a href="http://a836-acris.nyc.gov/DS/DocumentSearch/DocumentDetail?doc_id=2018061901114002" target="_blank"&gt;Verified by Public Record&lt;/a&gt;</t>
  </si>
  <si>
    <t>&lt;a href="http://a836-acris.nyc.gov/DS/DocumentSearch/DocumentDetail?doc_id=2018060400496001" target="_blank"&gt;Verified by Public Record&lt;/a&gt;</t>
  </si>
  <si>
    <t>&lt;a href="http://a836-acris.nyc.gov/DS/DocumentSearch/DocumentDetail?doc_id=2018031200660002" target="_blank"&gt;Verified by Public Record&lt;/a&gt;</t>
  </si>
  <si>
    <t>&lt;a href="http://a836-acris.nyc.gov/DS/DocumentSearch/DocumentDetail?doc_id=2017091401153002" target="_blank"&gt;Verified by Public Record&lt;/a&gt;</t>
  </si>
  <si>
    <t>&lt;a href="http://a836-acris.nyc.gov/DS/DocumentSearch/DocumentDetail?doc_id=2017111600022001" target="_blank"&gt;Verified by Public Record&lt;/a&gt;</t>
  </si>
  <si>
    <t>&lt;a href="http://a836-acris.nyc.gov/DS/DocumentSearch/DocumentDetail?doc_id=2017121200154001" target="_blank"&gt;Verified by Public Record&lt;/a&gt;</t>
  </si>
  <si>
    <t>&lt;a href="http://a836-acris.nyc.gov/DS/DocumentSearch/DocumentDetail?doc_id=2017091200070001" target="_blank"&gt;Verified by Public Record&lt;/a&gt;</t>
  </si>
  <si>
    <t>&lt;a href="http://a836-acris.nyc.gov/DS/DocumentSearch/DocumentDetail?doc_id=2017082500136001" target="_blank"&gt;Verified by Public Record&lt;/a&gt;</t>
  </si>
  <si>
    <t>&lt;a href="http://a836-acris.nyc.gov/DS/DocumentSearch/DocumentDetail?doc_id=2017091400433001" target="_blank"&gt;Verified by Public Record&lt;/a&gt;</t>
  </si>
  <si>
    <t>&lt;a href="http://a836-acris.nyc.gov/DS/DocumentSearch/DocumentDetail?doc_id=2017072000442001" target="_blank"&gt;Verified by Public Record&lt;/a&gt;</t>
  </si>
  <si>
    <t>&lt;a href="http://a836-acris.nyc.gov/DS/DocumentSearch/DocumentDetail?doc_id=2018061100984001" target="_blank"&gt;Verified by Public Record&lt;/a&gt;</t>
  </si>
  <si>
    <t>&lt;a href="http://a836-acris.nyc.gov/DS/DocumentSearch/DocumentDetail?doc_id=2018052300383001" target="_blank"&gt;Verified by Public Record&lt;/a&gt;</t>
  </si>
  <si>
    <t>&lt;a href="http://a836-acris.nyc.gov/DS/DocumentSearch/DocumentDetail?doc_id=2018050800578004" target="_blank"&gt;Verified by Public Record&lt;/a&gt;</t>
  </si>
  <si>
    <t>&lt;a href="http://a836-acris.nyc.gov/DS/DocumentSearch/DocumentDetail?doc_id=2018050801084004" target="_blank"&gt;Verified by Public Record&lt;/a&gt;</t>
  </si>
  <si>
    <t>&lt;a href="http://a836-acris.nyc.gov/DS/DocumentSearch/DocumentDetail?doc_id=2018051401228001" target="_blank"&gt;Verified by Public Record&lt;/a&gt;</t>
  </si>
  <si>
    <t>&lt;a href="http://a836-acris.nyc.gov/DS/DocumentSearch/DocumentDetail?doc_id=2019060800006001" target="_blank"&gt;Verified by Public Record&lt;/a&gt;</t>
  </si>
  <si>
    <t>Private Terrace
Roof Deck
Common Roof Deck
Common Garden
Private Outdoor Space</t>
  </si>
  <si>
    <t>&lt;a href="http://a836-acris.nyc.gov/DS/DocumentSearch/DocumentDetail?doc_id=2016071801118002" target="_blank"&gt;Verified by Public Record&lt;/a&gt;</t>
  </si>
  <si>
    <t>&lt;a href="http://a836-acris.nyc.gov/DS/DocumentSearch/DocumentDetail?doc_id=2021031900139006" target="_blank"&gt;Verified by Public Record&lt;/a&gt;</t>
  </si>
  <si>
    <t>&lt;a href="http://a836-acris.nyc.gov/DS/DocumentSearch/DocumentDetail?doc_id=2019121000921001" target="_blank"&gt;Verified by Public Record&lt;/a&gt;</t>
  </si>
  <si>
    <t>&lt;a href="http://a836-acris.nyc.gov/DS/DocumentSearch/DocumentDetail?doc_id=2020081000615001" target="_blank"&gt;Verified by Public Record&lt;/a&gt;</t>
  </si>
  <si>
    <t>&lt;a href="http://a836-acris.nyc.gov/DS/DocumentSearch/DocumentDetail?doc_id=2018052400947001" target="_blank"&gt;Verified by Public Record&lt;/a&gt;</t>
  </si>
  <si>
    <t>&lt;a href="http://a836-acris.nyc.gov/DS/DocumentSearch/DocumentDetail?doc_id=2016051700298001" target="_blank"&gt;Verified by Public Record&lt;/a&gt;</t>
  </si>
  <si>
    <t>&lt;a href="http://a836-acris.nyc.gov/DS/DocumentSearch/DocumentDetail?doc_id=2018011600419001" target="_blank"&gt;Verified by Public Record&lt;/a&gt;</t>
  </si>
  <si>
    <t>&lt;a href="http://a836-acris.nyc.gov/DS/DocumentSearch/DocumentDetail?doc_id=2019120200514005" target="_blank"&gt;Public Record Only&lt;/a&gt;</t>
  </si>
  <si>
    <t>&lt;a href="http://a836-acris.nyc.gov/DS/DocumentSearch/DocumentDetail?doc_id=2017082300921001" target="_blank"&gt;Verified by Public Record&lt;/a&gt;</t>
  </si>
  <si>
    <t>&lt;a href="http://a836-acris.nyc.gov/DS/DocumentSearch/DocumentDetail?doc_id=2017060201277001" target="_blank"&gt;Verified by Public Record&lt;/a&gt;</t>
  </si>
  <si>
    <t>&lt;a href="http://a836-acris.nyc.gov/DS/DocumentSearch/DocumentDetail?doc_id=2016051600917001" target="_blank"&gt;Verified by Public Record&lt;/a&gt;</t>
  </si>
  <si>
    <t>&lt;a href="http://a836-acris.nyc.gov/DS/DocumentSearch/DocumentDetail?doc_id=2021060701146002" target="_blank"&gt;Verified by Public Record&lt;/a&gt;</t>
  </si>
  <si>
    <t>&lt;a href="http://a836-acris.nyc.gov/DS/DocumentSearch/DocumentDetail?doc_id=2017042800205001" target="_blank"&gt;Verified by Public Record&lt;/a&gt;</t>
  </si>
  <si>
    <t>&lt;a href="http://a836-acris.nyc.gov/DS/DocumentSearch/DocumentDetail?doc_id=2016062200769001" target="_blank"&gt;Verified by Public Record&lt;/a&gt;</t>
  </si>
  <si>
    <t>&lt;a href="http://a836-acris.nyc.gov/DS/DocumentSearch/DocumentDetail?doc_id=2017042600379001" target="_blank"&gt;Verified by Public Record&lt;/a&gt;</t>
  </si>
  <si>
    <t>&lt;a href="http://a836-acris.nyc.gov/DS/DocumentSearch/DocumentDetail?doc_id=2017102700304003" target="_blank"&gt;Verified by Public Record&lt;/a&gt;</t>
  </si>
  <si>
    <t>&lt;a href="http://a836-acris.nyc.gov/DS/DocumentSearch/DocumentDetail?doc_id=2017042000444002" target="_blank"&gt;Verified by Public Record&lt;/a&gt;</t>
  </si>
  <si>
    <t>&lt;a href="http://a836-acris.nyc.gov/DS/DocumentSearch/DocumentDetail?doc_id=2017121900441002" target="_blank"&gt;Verified by Public Record&lt;/a&gt;</t>
  </si>
  <si>
    <t>&lt;a href="http://a836-acris.nyc.gov/DS/DocumentSearch/DocumentDetail?doc_id=2021011000061002" target="_blank"&gt;Verified by Public Record&lt;/a&gt;</t>
  </si>
  <si>
    <t>&lt;a href="http://a836-acris.nyc.gov/DS/DocumentSearch/DocumentDetail?doc_id=2017113000209006" target="_blank"&gt;Verified by Public Record&lt;/a&gt;</t>
  </si>
  <si>
    <t>&lt;a href="http://a836-acris.nyc.gov/DS/DocumentSearch/DocumentDetail?doc_id=2019082900572002" target="_blank"&gt;Verified by Public Record&lt;/a&gt;</t>
  </si>
  <si>
    <t>&lt;a href="http://a836-acris.nyc.gov/DS/DocumentSearch/DocumentDetail?doc_id=2017051900896001" target="_blank"&gt;Verified by Public Record&lt;/a&gt;</t>
  </si>
  <si>
    <t>&lt;a href="http://a836-acris.nyc.gov/DS/DocumentSearch/DocumentDetail?doc_id=2017032000526001" target="_blank"&gt;Verified by Public Record&lt;/a&gt;</t>
  </si>
  <si>
    <t>&lt;a href="http://a836-acris.nyc.gov/DS/DocumentSearch/DocumentDetail?doc_id=2018102200218001" target="_blank"&gt;Verified by Public Record&lt;/a&gt;</t>
  </si>
  <si>
    <t>&lt;a href="http://a836-acris.nyc.gov/DS/DocumentSearch/DocumentDetail?doc_id=2021031900457005" target="_blank"&gt;Verified by Public Record&lt;/a&gt;</t>
  </si>
  <si>
    <t>&lt;a href="http://a836-acris.nyc.gov/DS/DocumentSearch/DocumentDetail?doc_id=2017061900171001" target="_blank"&gt;Verified by Public Record&lt;/a&gt;</t>
  </si>
  <si>
    <t>&lt;a href="http://a836-acris.nyc.gov/DS/DocumentSearch/DocumentDetail?doc_id=2016071400044002" target="_blank"&gt;Verified by Public Record&lt;/a&gt;</t>
  </si>
  <si>
    <t>&lt;a href="http://a836-acris.nyc.gov/DS/DocumentSearch/DocumentDetail?doc_id=2017101300287001" target="_blank"&gt;Verified by Public Record&lt;/a&gt;</t>
  </si>
  <si>
    <t>&lt;a href="http://a836-acris.nyc.gov/DS/DocumentSearch/DocumentDetail?doc_id=2016021601117001" target="_blank"&gt;Verified by Public Record&lt;/a&gt;</t>
  </si>
  <si>
    <t>&lt;a href="http://a836-acris.nyc.gov/DS/DocumentSearch/DocumentDetail?doc_id=2017092800399001" target="_blank"&gt;Verified by Public Record&lt;/a&gt;</t>
  </si>
  <si>
    <t>&lt;a href="http://a836-acris.nyc.gov/DS/DocumentSearch/DocumentDetail?doc_id=2019120500345001" target="_blank"&gt;Verified by Public Record&lt;/a&gt;</t>
  </si>
  <si>
    <t>&lt;a href="http://a836-acris.nyc.gov/DS/DocumentSearch/DocumentDetail?doc_id=2017021600898001" target="_blank"&gt;Verified by Public Record&lt;/a&gt;</t>
  </si>
  <si>
    <t>&lt;a href="http://a836-acris.nyc.gov/DS/DocumentSearch/DocumentDetail?doc_id=2019052200085001" target="_blank"&gt;Verified by Public Record&lt;/a&gt;</t>
  </si>
  <si>
    <t>&lt;a href="http://a836-acris.nyc.gov/DS/DocumentSearch/DocumentDetail?doc_id=2019050100675001" target="_blank"&gt;Verified by Public Record&lt;/a&gt;</t>
  </si>
  <si>
    <t>&lt;a href="http://a836-acris.nyc.gov/DS/DocumentSearch/DocumentDetail?doc_id=2018031900774001" target="_blank"&gt;Verified by Public Record&lt;/a&gt;</t>
  </si>
  <si>
    <t>&lt;a href="http://a836-acris.nyc.gov/DS/DocumentSearch/DocumentDetail?doc_id=2017101000950001" target="_blank"&gt;Verified by Public Record&lt;/a&gt;</t>
  </si>
  <si>
    <t>&lt;a href="http://a836-acris.nyc.gov/DS/DocumentSearch/DocumentDetail?doc_id=2018121000873001" target="_blank"&gt;Verified by Public Record&lt;/a&gt;</t>
  </si>
  <si>
    <t>&lt;a href="http://a836-acris.nyc.gov/DS/DocumentSearch/DocumentDetail?doc_id=2019032500170001" target="_blank"&gt;Verified by Public Record&lt;/a&gt;</t>
  </si>
  <si>
    <t>&lt;a href="http://a836-acris.nyc.gov/DS/DocumentSearch/DocumentDetail?doc_id=2018052901073001" target="_blank"&gt;Verified by Public Record&lt;/a&gt;</t>
  </si>
  <si>
    <t>&lt;a href="http://a836-acris.nyc.gov/DS/DocumentSearch/DocumentDetail?doc_id=2017100600571001" target="_blank"&gt;Verified by Public Record&lt;/a&gt;</t>
  </si>
  <si>
    <t>&lt;a href="http://a836-acris.nyc.gov/DS/DocumentSearch/DocumentDetail?doc_id=2020082400585004" target="_blank"&gt;Public Record Only&lt;/a&gt;</t>
  </si>
  <si>
    <t>&lt;a href="http://a836-acris.nyc.gov/DS/DocumentSearch/DocumentDetail?doc_id=2018072000651001" target="_blank"&gt;Verified by Public Record&lt;/a&gt;</t>
  </si>
  <si>
    <t>&lt;a href="http://a836-acris.nyc.gov/DS/DocumentSearch/DocumentDetail?doc_id=2017021601274004" target="_blank"&gt;Verified by Public Record&lt;/a&gt;</t>
  </si>
  <si>
    <t>&lt;a href="http://a836-acris.nyc.gov/DS/DocumentSearch/DocumentDetail?doc_id=2018020200381001" target="_blank"&gt;Verified by Public Record&lt;/a&gt;</t>
  </si>
  <si>
    <t>&lt;a href="http://a836-acris.nyc.gov/DS/DocumentSearch/DocumentDetail?doc_id=2017021600944001" target="_blank"&gt;Verified by Public Record&lt;/a&gt;</t>
  </si>
  <si>
    <t>&lt;a href="http://a836-acris.nyc.gov/DS/DocumentSearch/DocumentDetail?doc_id=2017081800903001" target="_blank"&gt;Verified by Public Record&lt;/a&gt;</t>
  </si>
  <si>
    <t>&lt;a href="http://a836-acris.nyc.gov/DS/DocumentSearch/DocumentDetail?doc_id=2016032401075001" target="_blank"&gt;Verified by Public Record&lt;/a&gt;</t>
  </si>
  <si>
    <t>&lt;a href="http://a836-acris.nyc.gov/DS/DocumentSearch/DocumentDetail?doc_id=2016032800350001" target="_blank"&gt;Verified by Public Record&lt;/a&gt;</t>
  </si>
  <si>
    <t>&lt;a href="http://a836-acris.nyc.gov/DS/DocumentSearch/DocumentDetail?doc_id=2016061601304001" target="_blank"&gt;Verified by Public Record&lt;/a&gt;</t>
  </si>
  <si>
    <t>&lt;a href="http://a836-acris.nyc.gov/DS/DocumentSearch/DocumentDetail?doc_id=2016071301017001" target="_blank"&gt;Public Record Only&lt;/a&gt;</t>
  </si>
  <si>
    <t>&lt;a href="http://a836-acris.nyc.gov/DS/DocumentSearch/DocumentDetail?doc_id=2017102601298001" target="_blank"&gt;Verified by Public Record&lt;/a&gt;</t>
  </si>
  <si>
    <t>&lt;a href="http://a836-acris.nyc.gov/DS/DocumentSearch/DocumentDetail?doc_id=2016021601741002" target="_blank"&gt;Verified by Public Record&lt;/a&gt;</t>
  </si>
  <si>
    <t>&lt;a href="http://a836-acris.nyc.gov/DS/DocumentSearch/DocumentDetail?doc_id=2018022100587001" target="_blank"&gt;Public Record Only&lt;/a&gt;</t>
  </si>
  <si>
    <t>&lt;a href="http://a836-acris.nyc.gov/DS/DocumentSearch/DocumentDetail?doc_id=2016032800543001" target="_blank"&gt;Verified by Public Record&lt;/a&gt;</t>
  </si>
  <si>
    <t>&lt;a href="http://a836-acris.nyc.gov/DS/DocumentSearch/DocumentDetail?doc_id=2016021101077001" target="_blank"&gt;Verified by Public Record&lt;/a&gt;</t>
  </si>
  <si>
    <t>&lt;a href="http://a836-acris.nyc.gov/DS/DocumentSearch/DocumentDetail?doc_id=2016021501110002" target="_blank"&gt;Verified by Public Record&lt;/a&gt;</t>
  </si>
  <si>
    <t>&lt;a href="http://a836-acris.nyc.gov/DS/DocumentSearch/DocumentDetail?doc_id=2016031800619002" target="_blank"&gt;Verified by Public Record&lt;/a&gt;</t>
  </si>
  <si>
    <t>&lt;a href="http://a836-acris.nyc.gov/DS/DocumentSearch/DocumentDetail?doc_id=2016071500455001" target="_blank"&gt;Verified by Public Record&lt;/a&gt;</t>
  </si>
  <si>
    <t>&lt;a href="http://a836-acris.nyc.gov/DS/DocumentSearch/DocumentDetail?doc_id=2016091600735001" target="_blank"&gt;Verified by Public Record&lt;/a&gt;</t>
  </si>
  <si>
    <t>&lt;a href="http://a836-acris.nyc.gov/DS/DocumentSearch/DocumentDetail?doc_id=2016091900011002" target="_blank"&gt;Verified by Public Record&lt;/a&gt;</t>
  </si>
  <si>
    <t>&lt;a href="http://a836-acris.nyc.gov/DS/DocumentSearch/DocumentDetail?doc_id=2017022200222001" target="_blank"&gt;Verified by Public Record&lt;/a&gt;</t>
  </si>
  <si>
    <t>&lt;a href="http://a836-acris.nyc.gov/DS/DocumentSearch/DocumentDetail?doc_id=2016081000888001" target="_blank"&gt;Verified by Public Record&lt;/a&gt;</t>
  </si>
  <si>
    <t>&lt;a href="http://a836-acris.nyc.gov/DS/DocumentSearch/DocumentDetail?doc_id=2018070900748002" target="_blank"&gt;Verified by Public Record&lt;/a&gt;</t>
  </si>
  <si>
    <t>&lt;a href="http://a836-acris.nyc.gov/DS/DocumentSearch/DocumentDetail?doc_id=2018021500524001" target="_blank"&gt;Verified by Public Record&lt;/a&gt;</t>
  </si>
  <si>
    <t>&lt;a href="http://a836-acris.nyc.gov/DS/DocumentSearch/DocumentDetail?doc_id=2017112000088001" target="_blank"&gt;Verified by Public Record&lt;/a&gt;</t>
  </si>
  <si>
    <t>&lt;a href="http://a836-acris.nyc.gov/DS/DocumentSearch/DocumentDetail?doc_id=2017120400742001" target="_blank"&gt;Verified by Public Record&lt;/a&gt;</t>
  </si>
  <si>
    <t>&lt;a href="http://a836-acris.nyc.gov/DS/DocumentSearch/DocumentDetail?doc_id=2016021900701001" target="_blank"&gt;Verified by Public Record&lt;/a&gt;</t>
  </si>
  <si>
    <t>&lt;a href="http://a836-acris.nyc.gov/DS/DocumentSearch/DocumentDetail?doc_id=2018062700429001" target="_blank"&gt;Verified by Public Record&lt;/a&gt;</t>
  </si>
  <si>
    <t>&lt;a href="http://a836-acris.nyc.gov/DS/DocumentSearch/DocumentDetail?doc_id=2018091900429001" target="_blank"&gt;Verified by Public Record&lt;/a&gt;</t>
  </si>
  <si>
    <t>&lt;a href="http://a836-acris.nyc.gov/DS/DocumentSearch/DocumentDetail?doc_id=2019070900658001" target="_blank"&gt;Verified by Public Record&lt;/a&gt;</t>
  </si>
  <si>
    <t>&lt;a href="http://a836-acris.nyc.gov/DS/DocumentSearch/DocumentDetail?doc_id=2017100500608001" target="_blank"&gt;Verified by Public Record&lt;/a&gt;</t>
  </si>
  <si>
    <t>&lt;a href="http://a836-acris.nyc.gov/DS/DocumentSearch/DocumentDetail?doc_id=2018122600593001" target="_blank"&gt;Verified by Public Record&lt;/a&gt;</t>
  </si>
  <si>
    <t>&lt;a href="http://a836-acris.nyc.gov/DS/DocumentSearch/DocumentDetail?doc_id=2017022100799001" target="_blank"&gt;Verified by Public Record&lt;/a&gt;</t>
  </si>
  <si>
    <t>&lt;a href="http://a836-acris.nyc.gov/DS/DocumentSearch/DocumentDetail?doc_id=2016061301860001" target="_blank"&gt;Verified by Public Record&lt;/a&gt;</t>
  </si>
  <si>
    <t>&lt;a href="http://a836-acris.nyc.gov/DS/DocumentSearch/DocumentDetail?doc_id=2019032601279003" target="_blank"&gt;Verified by Public Record&lt;/a&gt;</t>
  </si>
  <si>
    <t>&lt;a href="http://a836-acris.nyc.gov/DS/DocumentSearch/DocumentDetail?doc_id=2019021100386002" target="_blank"&gt;Verified by Public Record&lt;/a&gt;</t>
  </si>
  <si>
    <t>&lt;a href="http://a836-acris.nyc.gov/DS/DocumentSearch/DocumentDetail?doc_id=2016040800956001" target="_blank"&gt;Verified by Public Record&lt;/a&gt;</t>
  </si>
  <si>
    <t>&lt;a href="http://a836-acris.nyc.gov/DS/DocumentSearch/DocumentDetail?doc_id=2016052400321001" target="_blank"&gt;Verified by Public Record&lt;/a&gt;</t>
  </si>
  <si>
    <t>&lt;a href="http://a836-acris.nyc.gov/DS/DocumentSearch/DocumentDetail?doc_id=2017091300182001" target="_blank"&gt;Verified by Public Record&lt;/a&gt;</t>
  </si>
  <si>
    <t>&lt;a href="http://a836-acris.nyc.gov/DS/DocumentSearch/DocumentDetail?doc_id=2017072900016001" target="_blank"&gt;Verified by Public Record&lt;/a&gt;</t>
  </si>
  <si>
    <t>&lt;a href="http://a836-acris.nyc.gov/DS/DocumentSearch/DocumentDetail?doc_id=2016021802374001" target="_blank"&gt;Verified by Public Record&lt;/a&gt;</t>
  </si>
  <si>
    <t>&lt;a href="http://a836-acris.nyc.gov/DS/DocumentSearch/DocumentDetail?doc_id=2017081801069003" target="_blank"&gt;Verified by Public Record&lt;/a&gt;</t>
  </si>
  <si>
    <t>&lt;a href="http://a836-acris.nyc.gov/DS/DocumentSearch/DocumentDetail?doc_id=2018062200762001" target="_blank"&gt;Verified by Public Record&lt;/a&gt;</t>
  </si>
  <si>
    <t>&lt;a href="http://a836-acris.nyc.gov/DS/DocumentSearch/DocumentDetail?doc_id=2018092800448001" target="_blank"&gt;Verified by Public Record&lt;/a&gt;</t>
  </si>
  <si>
    <t>&lt;a href="http://a836-acris.nyc.gov/DS/DocumentSearch/DocumentDetail?doc_id=2019051300935002" target="_blank"&gt;Verified by Public Record&lt;/a&gt;</t>
  </si>
  <si>
    <t>&lt;a href="http://a836-acris.nyc.gov/DS/DocumentSearch/DocumentDetail?doc_id=2017101700071002" target="_blank"&gt;Verified by Public Record&lt;/a&gt;</t>
  </si>
  <si>
    <t>&lt;a href="http://a836-acris.nyc.gov/DS/DocumentSearch/DocumentDetail?doc_id=2016021201548001" target="_blank"&gt;Verified by Public Record&lt;/a&gt;</t>
  </si>
  <si>
    <t>&lt;a href="http://a836-acris.nyc.gov/DS/DocumentSearch/DocumentDetail?doc_id=2020022000540001" target="_blank"&gt;Verified by Public Record&lt;/a&gt;</t>
  </si>
  <si>
    <t>&lt;a href="http://a836-acris.nyc.gov/DS/DocumentSearch/DocumentDetail?doc_id=2021081001154001" target="_blank"&gt;Public Record Only&lt;/a&gt;</t>
  </si>
  <si>
    <t>&lt;a href="http://a836-acris.nyc.gov/DS/DocumentSearch/DocumentDetail?doc_id=2016072800053002" target="_blank"&gt;Public Record Only&lt;/a&gt;</t>
  </si>
  <si>
    <t>&lt;a href="http://a836-acris.nyc.gov/DS/DocumentSearch/DocumentDetail?doc_id=2017081100801005" target="_blank"&gt;Public Record Only&lt;/a&gt;</t>
  </si>
  <si>
    <t>&lt;a href="http://a836-acris.nyc.gov/DS/DocumentSearch/DocumentDetail?doc_id=2018011700468001" target="_blank"&gt;Verified by Public Record&lt;/a&gt;</t>
  </si>
  <si>
    <t>&lt;a href="http://a836-acris.nyc.gov/DS/DocumentSearch/DocumentDetail?doc_id=2016032201092001" target="_blank"&gt;Verified by Public Record&lt;/a&gt;</t>
  </si>
  <si>
    <t>&lt;a href="http://a836-acris.nyc.gov/DS/DocumentSearch/DocumentDetail?doc_id=2019031401151001" target="_blank"&gt;Verified by Public Record&lt;/a&gt;</t>
  </si>
  <si>
    <t>&lt;a href="http://a836-acris.nyc.gov/DS/DocumentSearch/DocumentDetail?doc_id=2016021601522001" target="_blank"&gt;Verified by Public Record&lt;/a&gt;</t>
  </si>
  <si>
    <t>&lt;a href="http://a836-acris.nyc.gov/DS/DocumentSearch/DocumentDetail?doc_id=2017061600669001" target="_blank"&gt;Verified by Public Record&lt;/a&gt;</t>
  </si>
  <si>
    <t>Private Terrace
Common Outdoor Space
Private Outdoor Space
Back Yard</t>
  </si>
  <si>
    <t>&lt;a href="http://a836-acris.nyc.gov/DS/DocumentSearch/DocumentDetail?doc_id=2017060600322001" target="_blank"&gt;Verified by Public Record&lt;/a&gt;</t>
  </si>
  <si>
    <t>&lt;a href="http://a836-acris.nyc.gov/DS/DocumentSearch/DocumentDetail?doc_id=2017051900051001" target="_blank"&gt;Verified by Public Record&lt;/a&gt;</t>
  </si>
  <si>
    <t>&lt;a href="http://a836-acris.nyc.gov/DS/DocumentSearch/DocumentDetail?doc_id=2017062600805001" target="_blank"&gt;Verified by Public Record&lt;/a&gt;</t>
  </si>
  <si>
    <t>Balcony
Private Terrace
Common Outdoor Space</t>
  </si>
  <si>
    <t>&lt;a href="http://a836-acris.nyc.gov/DS/DocumentSearch/DocumentDetail?doc_id=2017052000044001" target="_blank"&gt;Verified by Public Record&lt;/a&gt;</t>
  </si>
  <si>
    <t>&lt;a href="http://a836-acris.nyc.gov/DS/DocumentSearch/DocumentDetail?doc_id=2014060401972001" target="_blank"&gt;Public Record Only&lt;/a&gt;</t>
  </si>
  <si>
    <t>&lt;a href="http://a836-acris.nyc.gov/DS/DocumentSearch/DocumentDetail?doc_id=2014082800275001" target="_blank"&gt;Public Record Only&lt;/a&gt;</t>
  </si>
  <si>
    <t>&lt;a href="http://a836-acris.nyc.gov/DS/DocumentSearch/DocumentDetail?doc_id=2014081301590001" target="_blank"&gt;Public Record Only&lt;/a&gt;</t>
  </si>
  <si>
    <t>&lt;a href="http://a836-acris.nyc.gov/DS/DocumentSearch/DocumentDetail?doc_id=2018111200563001" target="_blank"&gt;Verified by Public Record&lt;/a&gt;</t>
  </si>
  <si>
    <t>Roof Deck
Common Roof Deck
Playground</t>
  </si>
  <si>
    <t>&lt;a href="http://a836-acris.nyc.gov/DS/DocumentSearch/DocumentDetail?doc_id=2018101801198002" target="_blank"&gt;Verified by Public Record&lt;/a&gt;</t>
  </si>
  <si>
    <t>&lt;a href="http://a836-acris.nyc.gov/DS/DocumentSearch/DocumentDetail?doc_id=2018110500638003" target="_blank"&gt;Verified by Public Record&lt;/a&gt;</t>
  </si>
  <si>
    <t>&lt;a href="http://a836-acris.nyc.gov/DS/DocumentSearch/DocumentDetail?doc_id=2021072200240001" target="_blank"&gt;Verified by Public Record&lt;/a&gt;</t>
  </si>
  <si>
    <t>Roof Deck
Common Roof Deck
Playground
Common Outdoor Space</t>
  </si>
  <si>
    <t>&lt;a href="http://a836-acris.nyc.gov/DS/DocumentSearch/DocumentDetail?doc_id=2018120300595001" target="_blank"&gt;Verified by Public Record&lt;/a&gt;</t>
  </si>
  <si>
    <t>&lt;a href="http://a836-acris.nyc.gov/DS/DocumentSearch/DocumentDetail?doc_id=2019043000848001" target="_blank"&gt;Verified by Public Record&lt;/a&gt;</t>
  </si>
  <si>
    <t>&lt;a href="http://a836-acris.nyc.gov/DS/DocumentSearch/DocumentDetail?doc_id=2018100900892003" target="_blank"&gt;Verified by Public Record&lt;/a&gt;</t>
  </si>
  <si>
    <t>&lt;a href="http://a836-acris.nyc.gov/DS/DocumentSearch/DocumentDetail?doc_id=2018083100999003" target="_blank"&gt;Verified by Public Record&lt;/a&gt;</t>
  </si>
  <si>
    <t>&lt;a href="http://a836-acris.nyc.gov/DS/DocumentSearch/DocumentDetail?doc_id=2018121101036001" target="_blank"&gt;Verified by Public Record&lt;/a&gt;</t>
  </si>
  <si>
    <t>&lt;a href="http://a836-acris.nyc.gov/DS/DocumentSearch/DocumentDetail?doc_id=2018103100644002" target="_blank"&gt;Verified by Public Record&lt;/a&gt;</t>
  </si>
  <si>
    <t>&lt;a href="http://a836-acris.nyc.gov/DS/DocumentSearch/DocumentDetail?doc_id=2018103100644006" target="_blank"&gt;Verified by Public Record&lt;/a&gt;</t>
  </si>
  <si>
    <t>&lt;a href="http://a836-acris.nyc.gov/DS/DocumentSearch/DocumentDetail?doc_id=2019030600423001" target="_blank"&gt;Verified by Public Record&lt;/a&gt;</t>
  </si>
  <si>
    <t>&lt;a href="http://a836-acris.nyc.gov/DS/DocumentSearch/DocumentDetail?doc_id=2018101600654001" target="_blank"&gt;Verified by Public Record&lt;/a&gt;</t>
  </si>
  <si>
    <t>&lt;a href="http://a836-acris.nyc.gov/DS/DocumentSearch/DocumentDetail?doc_id=2018111900952001" target="_blank"&gt;Verified by Public Record&lt;/a&gt;</t>
  </si>
  <si>
    <t>&lt;a href="http://a836-acris.nyc.gov/DS/DocumentSearch/DocumentDetail?doc_id=2018112600585001" target="_blank"&gt;Verified by Public Record&lt;/a&gt;</t>
  </si>
  <si>
    <t>&lt;a href="http://a836-acris.nyc.gov/DS/DocumentSearch/DocumentDetail?doc_id=2018091700833001" target="_blank"&gt;Verified by Public Record&lt;/a&gt;</t>
  </si>
  <si>
    <t>&lt;a href="http://a836-acris.nyc.gov/DS/DocumentSearch/DocumentDetail?doc_id=2018121300181001" target="_blank"&gt;Verified by Public Record&lt;/a&gt;</t>
  </si>
  <si>
    <t>&lt;a href="http://a836-acris.nyc.gov/DS/DocumentSearch/DocumentDetail?doc_id=2018101501003001" target="_blank"&gt;Verified by Public Record&lt;/a&gt;</t>
  </si>
  <si>
    <t>&lt;a href="http://a836-acris.nyc.gov/DS/DocumentSearch/DocumentDetail?doc_id=2018102500891003" target="_blank"&gt;Verified by Public Record&lt;/a&gt;</t>
  </si>
  <si>
    <t>&lt;a href="http://a836-acris.nyc.gov/DS/DocumentSearch/DocumentDetail?doc_id=2018110801103001" target="_blank"&gt;Verified by Public Record&lt;/a&gt;</t>
  </si>
  <si>
    <t>&lt;a href="http://a836-acris.nyc.gov/DS/DocumentSearch/DocumentDetail?doc_id=2018102500991001" target="_blank"&gt;Verified by Public Record&lt;/a&gt;</t>
  </si>
  <si>
    <t>&lt;a href="http://a836-acris.nyc.gov/DS/DocumentSearch/DocumentDetail?doc_id=2018101801333001" target="_blank"&gt;Verified by Public Record&lt;/a&gt;</t>
  </si>
  <si>
    <t>&lt;a href="http://a836-acris.nyc.gov/DS/DocumentSearch/DocumentDetail?doc_id=2018101801348001" target="_blank"&gt;Verified by Public Record&lt;/a&gt;</t>
  </si>
  <si>
    <t>&lt;a href="http://a836-acris.nyc.gov/DS/DocumentSearch/DocumentDetail?doc_id=2018101000236001" target="_blank"&gt;Verified by Public Record&lt;/a&gt;</t>
  </si>
  <si>
    <t>&lt;a href="http://a836-acris.nyc.gov/DS/DocumentSearch/DocumentDetail?doc_id=2017122900941002" target="_blank"&gt;Verified by Public Record&lt;/a&gt;</t>
  </si>
  <si>
    <t>Balcony
Deck
Roof Deck
Common Roof Deck</t>
  </si>
  <si>
    <t>&lt;a href="http://a836-acris.nyc.gov/DS/DocumentSearch/DocumentDetail?doc_id=2017121300965002" target="_blank"&gt;Verified by Public Record&lt;/a&gt;</t>
  </si>
  <si>
    <t>Private Roof Deck
Deck
Roof Deck
Common Roof Deck</t>
  </si>
  <si>
    <t>&lt;a href="http://a836-acris.nyc.gov/DS/DocumentSearch/DocumentDetail?doc_id=2017121800950001" target="_blank"&gt;Verified by Public Record&lt;/a&gt;</t>
  </si>
  <si>
    <t>&lt;a href="http://a836-acris.nyc.gov/DS/DocumentSearch/DocumentDetail?doc_id=2017122700322002" target="_blank"&gt;Verified by Public Record&lt;/a&gt;</t>
  </si>
  <si>
    <t>&lt;a href="http://a836-acris.nyc.gov/DS/DocumentSearch/DocumentDetail?doc_id=2016022400834002" target="_blank"&gt;Verified by Public Record&lt;/a&gt;</t>
  </si>
  <si>
    <t>&lt;a href="http://a836-acris.nyc.gov/DS/DocumentSearch/DocumentDetail?doc_id=2016010600916001" target="_blank"&gt;Verified by Public Record&lt;/a&gt;</t>
  </si>
  <si>
    <t>&lt;a href="http://a836-acris.nyc.gov/DS/DocumentSearch/DocumentDetail?doc_id=2021060900792003" target="_blank"&gt;Verified by Public Record&lt;/a&gt;</t>
  </si>
  <si>
    <t>&lt;a href="http://a836-acris.nyc.gov/DS/DocumentSearch/DocumentDetail?doc_id=2018101701020001" target="_blank"&gt;Public Record Only&lt;/a&gt;</t>
  </si>
  <si>
    <t>/All Multi Family/Undefined Multi Family</t>
  </si>
  <si>
    <t>&lt;a href="http://a836-acris.nyc.gov/DS/DocumentSearch/DocumentDetail?doc_id=2019021200250002" target="_blank"&gt;Verified by Public Record&lt;/a&gt;</t>
  </si>
  <si>
    <t>0' x 0'</t>
  </si>
  <si>
    <t>&lt;a href="http://a836-acris.nyc.gov/DS/DocumentSearch/DocumentDetail?doc_id=2017122800213001" target="_blank"&gt;Verified by Public Record&lt;/a&gt;</t>
  </si>
  <si>
    <t>&lt;a href="http://a836-acris.nyc.gov/DS/DocumentSearch/DocumentDetail?doc_id=2018041700405004" target="_blank"&gt;Verified by Public Record&lt;/a&gt;</t>
  </si>
  <si>
    <t>&lt;a href="http://a836-acris.nyc.gov/DS/DocumentSearch/DocumentDetail?doc_id=2019060600797001" target="_blank"&gt;Verified by Public Record&lt;/a&gt;</t>
  </si>
  <si>
    <t>&lt;a href="http://a836-acris.nyc.gov/DS/DocumentSearch/DocumentDetail?doc_id=2016010700245001" target="_blank"&gt;Verified by Public Record&lt;/a&gt;</t>
  </si>
  <si>
    <t>&lt;a href="http://a836-acris.nyc.gov/DS/DocumentSearch/DocumentDetail?doc_id=2016031700799001" target="_blank"&gt;Verified by Public Record&lt;/a&gt;</t>
  </si>
  <si>
    <t>&lt;a href="http://a836-acris.nyc.gov/DS/DocumentSearch/DocumentDetail?doc_id=2016040700135001" target="_blank"&gt;Verified by Public Record&lt;/a&gt;</t>
  </si>
  <si>
    <t>&lt;a href="http://a836-acris.nyc.gov/DS/DocumentSearch/DocumentDetail?doc_id=2016030701537001" target="_blank"&gt;Verified by Public Record&lt;/a&gt;</t>
  </si>
  <si>
    <t>&lt;a href="http://a836-acris.nyc.gov/DS/DocumentSearch/DocumentDetail?doc_id=2021033100267003" target="_blank"&gt;Verified by Public Record&lt;/a&gt;</t>
  </si>
  <si>
    <t>&lt;a href="http://a836-acris.nyc.gov/DS/DocumentSearch/DocumentDetail?doc_id=2016031100264001" target="_blank"&gt;Verified by Public Record&lt;/a&gt;</t>
  </si>
  <si>
    <t>&lt;a href="http://a836-acris.nyc.gov/DS/DocumentSearch/DocumentDetail?doc_id=2015091400644002" target="_blank"&gt;Verified by Public Record&lt;/a&gt;</t>
  </si>
  <si>
    <t>&lt;a href="http://a836-acris.nyc.gov/DS/DocumentSearch/DocumentDetail?doc_id=2015110200362001" target="_blank"&gt;Verified by Public Record&lt;/a&gt;</t>
  </si>
  <si>
    <t>&lt;a href="http://a836-acris.nyc.gov/DS/DocumentSearch/DocumentDetail?doc_id=2015110600948001" target="_blank"&gt;Verified by Public Record&lt;/a&gt;</t>
  </si>
  <si>
    <t>&lt;a href="http://a836-acris.nyc.gov/DS/DocumentSearch/DocumentDetail?doc_id=2016020400406001" target="_blank"&gt;Verified by Public Record&lt;/a&gt;</t>
  </si>
  <si>
    <t>&lt;a href="http://a836-acris.nyc.gov/DS/DocumentSearch/DocumentDetail?doc_id=2016030900519001" target="_blank"&gt;Verified by Public Record&lt;/a&gt;</t>
  </si>
  <si>
    <t>&lt;a href="http://a836-acris.nyc.gov/DS/DocumentSearch/DocumentDetail?doc_id=2019112700255001" target="_blank"&gt;Verified by Public Record&lt;/a&gt;</t>
  </si>
  <si>
    <t>&lt;a href="http://a836-acris.nyc.gov/DS/DocumentSearch/DocumentDetail?doc_id=2019071900312001" target="_blank"&gt;Verified by Public Record&lt;/a&gt;</t>
  </si>
  <si>
    <t>&lt;a href="http://a836-acris.nyc.gov/DS/DocumentSearch/DocumentDetail?doc_id=2019052000352001" target="_blank"&gt;Verified by Public Record&lt;/a&gt;</t>
  </si>
  <si>
    <t>&lt;a href="http://a836-acris.nyc.gov/DS/DocumentSearch/DocumentDetail?doc_id=2019103100940001" target="_blank"&gt;Verified by Public Record&lt;/a&gt;</t>
  </si>
  <si>
    <t>&lt;a href="http://a836-acris.nyc.gov/DS/DocumentSearch/DocumentDetail?doc_id=2021012900316003" target="_blank"&gt;Verified by Public Record&lt;/a&gt;</t>
  </si>
  <si>
    <t>&lt;a href="http://a836-acris.nyc.gov/DS/DocumentSearch/DocumentDetail?doc_id=2018102601092001" target="_blank"&gt;Public Record Only&lt;/a&gt;</t>
  </si>
  <si>
    <t>&lt;a href="http://a836-acris.nyc.gov/DS/DocumentSearch/DocumentDetail?doc_id=2018112701012001" target="_blank"&gt;Public Record Only&lt;/a&gt;</t>
  </si>
  <si>
    <t>&lt;a href="http://a836-acris.nyc.gov/DS/DocumentSearch/DocumentDetail?doc_id=2018111200462001" target="_blank"&gt;Verified by Public Record&lt;/a&gt;</t>
  </si>
  <si>
    <t>&lt;a href="http://a836-acris.nyc.gov/DS/DocumentSearch/DocumentDetail?doc_id=2019011700714001" target="_blank"&gt;Verified by Public Record&lt;/a&gt;</t>
  </si>
  <si>
    <t>Private Terrace
Deck
Roof Deck
Common Roof Deck
Common Garden
Common Outdoor Space</t>
  </si>
  <si>
    <t>&lt;a href="http://a836-acris.nyc.gov/DS/DocumentSearch/DocumentDetail?doc_id=2016012100600001" target="_blank"&gt;Verified by Public Record&lt;/a&gt;</t>
  </si>
  <si>
    <t>&lt;a href="http://a836-acris.nyc.gov/DS/DocumentSearch/DocumentDetail?doc_id=2015102200039002" target="_blank"&gt;Verified by Public Record&lt;/a&gt;</t>
  </si>
  <si>
    <t>&lt;a href="http://a836-acris.nyc.gov/DS/DocumentSearch/DocumentDetail?doc_id=2015122900834001" target="_blank"&gt;Verified by Public Record&lt;/a&gt;</t>
  </si>
  <si>
    <t>&lt;a href="http://a836-acris.nyc.gov/DS/DocumentSearch/DocumentDetail?doc_id=2015112300232002" target="_blank"&gt;Verified by Public Record&lt;/a&gt;</t>
  </si>
  <si>
    <t>&lt;a href="http://a836-acris.nyc.gov/DS/DocumentSearch/DocumentDetail?doc_id=2017070500656001" target="_blank"&gt;Verified by Public Record&lt;/a&gt;</t>
  </si>
  <si>
    <t>&lt;a href="http://a836-acris.nyc.gov/DS/DocumentSearch/DocumentDetail?doc_id=2019121700865001" target="_blank"&gt;Verified by Public Record&lt;/a&gt;</t>
  </si>
  <si>
    <t>&lt;a href="http://a836-acris.nyc.gov/DS/DocumentSearch/DocumentDetail?doc_id=2019122400227001" target="_blank"&gt;Verified by Public Record&lt;/a&gt;</t>
  </si>
  <si>
    <t>&lt;a href="http://a836-acris.nyc.gov/DS/DocumentSearch/DocumentDetail?doc_id=2019120300960001" target="_blank"&gt;Verified by Public Record&lt;/a&gt;</t>
  </si>
  <si>
    <t>Balcony
Juliet Balcony
Private Terrace
Deck
Common Roof Deck
Common Outdoor Space</t>
  </si>
  <si>
    <t>&lt;a href="http://a836-acris.nyc.gov/DS/DocumentSearch/DocumentDetail?doc_id=2019102800151001" target="_blank"&gt;Verified by Public Record&lt;/a&gt;</t>
  </si>
  <si>
    <t>&lt;a href="http://a836-acris.nyc.gov/DS/DocumentSearch/DocumentDetail?doc_id=2018022101145001" target="_blank"&gt;Verified by Public Record&lt;/a&gt;</t>
  </si>
  <si>
    <t>&lt;a href="http://a836-acris.nyc.gov/DS/DocumentSearch/DocumentDetail?doc_id=2016012000538001" target="_blank"&gt;Verified by Public Record&lt;/a&gt;</t>
  </si>
  <si>
    <t>&lt;a href="http://a836-acris.nyc.gov/DS/DocumentSearch/DocumentDetail?doc_id=2015092900327001" target="_blank"&gt;Verified by Public Record&lt;/a&gt;</t>
  </si>
  <si>
    <t>&lt;a href="http://a836-acris.nyc.gov/DS/DocumentSearch/DocumentDetail?doc_id=2019112200740001" target="_blank"&gt;Verified by Public Record&lt;/a&gt;</t>
  </si>
  <si>
    <t>&lt;a href="http://a836-acris.nyc.gov/DS/DocumentSearch/DocumentDetail?doc_id=2015101400201003" target="_blank"&gt;Verified by Public Record&lt;/a&gt;</t>
  </si>
  <si>
    <t>&lt;a href="http://a836-acris.nyc.gov/DS/DocumentSearch/DocumentDetail?doc_id=2015100200260001" target="_blank"&gt;Verified by Public Record&lt;/a&gt;</t>
  </si>
  <si>
    <t>&lt;a href="http://a836-acris.nyc.gov/DS/DocumentSearch/DocumentDetail?doc_id=2015100701156001" target="_blank"&gt;Verified by Public Record&lt;/a&gt;</t>
  </si>
  <si>
    <t>&lt;a href="http://a836-acris.nyc.gov/DS/DocumentSearch/DocumentDetail?doc_id=2015101301294001" target="_blank"&gt;Verified by Public Record&lt;/a&gt;</t>
  </si>
  <si>
    <t>Balcony
Private Terrace
Deck
Common Roof Deck
Private Outdoor Space</t>
  </si>
  <si>
    <t>&lt;a href="http://a836-acris.nyc.gov/DS/DocumentSearch/DocumentDetail?doc_id=2016041500366001" target="_blank"&gt;Verified by Public Record&lt;/a&gt;</t>
  </si>
  <si>
    <t>&lt;a href="http://a836-acris.nyc.gov/DS/DocumentSearch/DocumentDetail?doc_id=2018110600983002" target="_blank"&gt;Verified by Public Record&lt;/a&gt;</t>
  </si>
  <si>
    <t>&lt;a href="http://a836-acris.nyc.gov/DS/DocumentSearch/DocumentDetail?doc_id=2020011400791001" target="_blank"&gt;Verified by Public Record&lt;/a&gt;</t>
  </si>
  <si>
    <t>&lt;a href="http://a836-acris.nyc.gov/DS/DocumentSearch/DocumentDetail?doc_id=2017112800017001" target="_blank"&gt;Verified by Public Record&lt;/a&gt;</t>
  </si>
  <si>
    <t>&lt;a href="http://a836-acris.nyc.gov/DS/DocumentSearch/DocumentDetail?doc_id=2017051100507001" target="_blank"&gt;Verified by Public Record&lt;/a&gt;</t>
  </si>
  <si>
    <t>&lt;a href="http://a836-acris.nyc.gov/DS/DocumentSearch/DocumentDetail?doc_id=2016100500107001" target="_blank"&gt;Verified by Public Record&lt;/a&gt;</t>
  </si>
  <si>
    <t>&lt;a href="http://a836-acris.nyc.gov/DS/DocumentSearch/DocumentDetail?doc_id=2016100500414001" target="_blank"&gt;Verified by Public Record&lt;/a&gt;</t>
  </si>
  <si>
    <t>&lt;a href="http://a836-acris.nyc.gov/DS/DocumentSearch/DocumentDetail?doc_id=2017080801501001" target="_blank"&gt;Verified by Public Record&lt;/a&gt;</t>
  </si>
  <si>
    <t>&lt;a href="http://a836-acris.nyc.gov/DS/DocumentSearch/DocumentDetail?doc_id=2018110200624001" target="_blank"&gt;Verified by Public Record&lt;/a&gt;</t>
  </si>
  <si>
    <t>&lt;a href="http://a836-acris.nyc.gov/DS/DocumentSearch/DocumentDetail?doc_id=2017012701311003" target="_blank"&gt;Verified by Public Record&lt;/a&gt;</t>
  </si>
  <si>
    <t>&lt;a href="http://a836-acris.nyc.gov/DS/DocumentSearch/DocumentDetail?doc_id=2020013000984001" target="_blank"&gt;Verified by Public Record&lt;/a&gt;</t>
  </si>
  <si>
    <t>&lt;a href="http://a836-acris.nyc.gov/DS/DocumentSearch/DocumentDetail?doc_id=2019102500434001" target="_blank"&gt;Verified by Public Record&lt;/a&gt;</t>
  </si>
  <si>
    <t>&lt;a href="http://a836-acris.nyc.gov/DS/DocumentSearch/DocumentDetail?doc_id=2018011201506001" target="_blank"&gt;Verified by Public Record&lt;/a&gt;</t>
  </si>
  <si>
    <t>&lt;a href="http://a836-acris.nyc.gov/DS/DocumentSearch/DocumentDetail?doc_id=2016050500945001" target="_blank"&gt;Verified by Public Record&lt;/a&gt;</t>
  </si>
  <si>
    <t>&lt;a href="http://a836-acris.nyc.gov/DS/DocumentSearch/DocumentDetail?doc_id=2016121600573002" target="_blank"&gt;Verified by Public Record&lt;/a&gt;</t>
  </si>
  <si>
    <t>&lt;a href="http://a836-acris.nyc.gov/DS/DocumentSearch/DocumentDetail?doc_id=2017080900656001" target="_blank"&gt;Verified by Public Record&lt;/a&gt;</t>
  </si>
  <si>
    <t>&lt;a href="http://a836-acris.nyc.gov/DS/DocumentSearch/DocumentDetail?doc_id=2017080900958001" target="_blank"&gt;Verified by Public Record&lt;/a&gt;</t>
  </si>
  <si>
    <t>&lt;a href="http://a836-acris.nyc.gov/DS/DocumentSearch/DocumentDetail?doc_id=2017112901181001" target="_blank"&gt;Verified by Public Record&lt;/a&gt;</t>
  </si>
  <si>
    <t>&lt;a href="http://a836-acris.nyc.gov/DS/DocumentSearch/DocumentDetail?doc_id=2016110800382002" target="_blank"&gt;Verified by Public Record&lt;/a&gt;</t>
  </si>
  <si>
    <t>&lt;a href="http://a836-acris.nyc.gov/DS/DocumentSearch/DocumentDetail?doc_id=2017071100506003" target="_blank"&gt;Verified by Public Record&lt;/a&gt;</t>
  </si>
  <si>
    <t>&lt;a href="http://a836-acris.nyc.gov/DS/DocumentSearch/DocumentDetail?doc_id=2017060200496002" target="_blank"&gt;Verified by Public Record&lt;/a&gt;</t>
  </si>
  <si>
    <t>&lt;a href="http://a836-acris.nyc.gov/DS/DocumentSearch/DocumentDetail?doc_id=2017071300579001" target="_blank"&gt;Verified by Public Record&lt;/a&gt;</t>
  </si>
  <si>
    <t>&lt;a href="http://a836-acris.nyc.gov/DS/DocumentSearch/DocumentDetail?doc_id=2018092400339001" target="_blank"&gt;Verified by Public Record&lt;/a&gt;</t>
  </si>
  <si>
    <t>&lt;a href="http://a836-acris.nyc.gov/DS/DocumentSearch/DocumentDetail?doc_id=2019050200095001" target="_blank"&gt;Verified by Public Record&lt;/a&gt;</t>
  </si>
  <si>
    <t>&lt;a href="http://a836-acris.nyc.gov/DS/DocumentSearch/DocumentDetail?doc_id=2021060701018001" target="_blank"&gt;Verified by Public Record&lt;/a&gt;</t>
  </si>
  <si>
    <t>&lt;a href="http://a836-acris.nyc.gov/DS/DocumentSearch/DocumentDetail?doc_id=2016020500300002" target="_blank"&gt;Verified by Public Record&lt;/a&gt;</t>
  </si>
  <si>
    <t>&lt;a href="http://a836-acris.nyc.gov/DS/DocumentSearch/DocumentDetail?doc_id=2017082501153002" target="_blank"&gt;Verified by Public Record&lt;/a&gt;</t>
  </si>
  <si>
    <t>&lt;a href="http://a836-acris.nyc.gov/DS/DocumentSearch/DocumentDetail?doc_id=2019070200201001" target="_blank"&gt;Verified by Public Record&lt;/a&gt;</t>
  </si>
  <si>
    <t>&lt;a href="http://a836-acris.nyc.gov/DS/DocumentSearch/DocumentDetail?doc_id=2018122700210001" target="_blank"&gt;Public Record Only&lt;/a&gt;</t>
  </si>
  <si>
    <t>Residential</t>
  </si>
  <si>
    <t>&lt;a href="http://a836-acris.nyc.gov/DS/DocumentSearch/DocumentDetail?doc_id=2015121501506001" target="_blank"&gt;Public Record Only&lt;/a&gt;</t>
  </si>
  <si>
    <t>&lt;a href="http://a836-acris.nyc.gov/DS/DocumentSearch/DocumentDetail?doc_id=2015100201443001" target="_blank"&gt;Public Record Only&lt;/a&gt;</t>
  </si>
  <si>
    <t>&lt;a href="http://a836-acris.nyc.gov/DS/DocumentSearch/DocumentDetail?doc_id=2021012900316001" target="_blank"&gt;Public Record Only&lt;/a&gt;</t>
  </si>
  <si>
    <t>&lt;a href="http://a836-acris.nyc.gov/DS/DocumentSearch/DocumentDetail?doc_id=2016103000088001" target="_blank"&gt;Verified by Public Record&lt;/a&gt;</t>
  </si>
  <si>
    <t>&lt;a href="http://a836-acris.nyc.gov/DS/DocumentSearch/DocumentDetail?doc_id=2017122200253002" target="_blank"&gt;Verified by Public Record&lt;/a&gt;</t>
  </si>
  <si>
    <t>&lt;a href="http://a836-acris.nyc.gov/DS/DocumentSearch/DocumentDetail?doc_id=2020021200934001" target="_blank"&gt;Verified by Public Record&lt;/a&gt;</t>
  </si>
  <si>
    <t>&lt;a href="http://a836-acris.nyc.gov/DS/DocumentSearch/DocumentDetail?doc_id=2018031200710001" target="_blank"&gt;Verified by Public Record&lt;/a&gt;</t>
  </si>
  <si>
    <t>&lt;a href="http://a836-acris.nyc.gov/DS/DocumentSearch/DocumentDetail?doc_id=2018030801437001" target="_blank"&gt;Verified by Public Record&lt;/a&gt;</t>
  </si>
  <si>
    <t>&lt;a href="http://a836-acris.nyc.gov/DS/DocumentSearch/DocumentDetail?doc_id=2017022700552001" target="_blank"&gt;Verified by Public Record&lt;/a&gt;</t>
  </si>
  <si>
    <t>&lt;a href="http://a836-acris.nyc.gov/DS/DocumentSearch/DocumentDetail?doc_id=2016070500067001" target="_blank"&gt;Verified by Public Record&lt;/a&gt;</t>
  </si>
  <si>
    <t>&lt;a href="http://a836-acris.nyc.gov/DS/DocumentSearch/DocumentDetail?doc_id=2017031500961001" target="_blank"&gt;Verified by Public Record&lt;/a&gt;</t>
  </si>
  <si>
    <t>Hudson Heights</t>
  </si>
  <si>
    <t>&lt;a href="http://a836-acris.nyc.gov/DS/DocumentSearch/DocumentDetail?doc_id=2020080700692001" target="_blank"&gt;Verified by Public Record&lt;/a&gt;</t>
  </si>
  <si>
    <t>Brooklyn</t>
  </si>
  <si>
    <t>&lt;a href="http://a836-acris.nyc.gov/DS/DocumentSearch/DocumentDetail?doc_id=2020100700899001" target="_blank"&gt;Verified by Public Record&lt;/a&gt;</t>
  </si>
  <si>
    <t>&lt;a href="http://a836-acris.nyc.gov/DS/DocumentSearch/DocumentDetail?doc_id=2017032000923002" target="_blank"&gt;Verified by Public Record&lt;/a&gt;</t>
  </si>
  <si>
    <t>&lt;a href="http://a836-acris.nyc.gov/DS/DocumentSearch/DocumentDetail?doc_id=2020032000646002" target="_blank"&gt;Verified by Public Record&lt;/a&gt;</t>
  </si>
  <si>
    <t>&lt;a href="http://a836-acris.nyc.gov/DS/DocumentSearch/DocumentDetail?doc_id=2015100200427002" target="_blank"&gt;Verified by Public Record&lt;/a&gt;</t>
  </si>
  <si>
    <t>&lt;a href="http://a836-acris.nyc.gov/DS/DocumentSearch/DocumentDetail?doc_id=2016011200477001" target="_blank"&gt;Verified by Public Record&lt;/a&gt;</t>
  </si>
  <si>
    <t>&lt;a href="http://a836-acris.nyc.gov/DS/DocumentSearch/DocumentDetail?doc_id=2019070301043002" target="_blank"&gt;Verified by Public Record&lt;/a&gt;</t>
  </si>
  <si>
    <t>&lt;a href="http://a836-acris.nyc.gov/DS/DocumentSearch/DocumentDetail?doc_id=2017020600759001" target="_blank"&gt;Verified by Public Record&lt;/a&gt;</t>
  </si>
  <si>
    <t>&lt;a href="http://a836-acris.nyc.gov/DS/DocumentSearch/DocumentDetail?doc_id=2016050600860001" target="_blank"&gt;Verified by Public Record&lt;/a&gt;</t>
  </si>
  <si>
    <t>&lt;a href="http://a836-acris.nyc.gov/DS/DocumentSearch/DocumentDetail?doc_id=2017031600201002" target="_blank"&gt;Verified by Public Record&lt;/a&gt;</t>
  </si>
  <si>
    <t>&lt;a href="http://a836-acris.nyc.gov/DS/DocumentSearch/DocumentDetail?doc_id=2016080300677003" target="_blank"&gt;Verified by Public Record&lt;/a&gt;</t>
  </si>
  <si>
    <t>&lt;a href="http://a836-acris.nyc.gov/DS/DocumentSearch/DocumentDetail?doc_id=2016122300340001" target="_blank"&gt;Verified by Public Record&lt;/a&gt;</t>
  </si>
  <si>
    <t>&lt;a href="http://a836-acris.nyc.gov/DS/DocumentSearch/DocumentDetail?doc_id=2015122800577001" target="_blank"&gt;Verified by Public Record&lt;/a&gt;</t>
  </si>
  <si>
    <t>&lt;a href="http://a836-acris.nyc.gov/DS/DocumentSearch/DocumentDetail?doc_id=2019080201161001" target="_blank"&gt;Verified by Public Record&lt;/a&gt;</t>
  </si>
  <si>
    <t>&lt;a href="http://a836-acris.nyc.gov/DS/DocumentSearch/DocumentDetail?doc_id=2017020201085001" target="_blank"&gt;Verified by Public Record&lt;/a&gt;</t>
  </si>
  <si>
    <t>&lt;a href="http://a836-acris.nyc.gov/DS/DocumentSearch/DocumentDetail?doc_id=2016071100516001" target="_blank"&gt;Verified by Public Record&lt;/a&gt;</t>
  </si>
  <si>
    <t>&lt;a href="http://a836-acris.nyc.gov/DS/DocumentSearch/DocumentDetail?doc_id=2016052700196002" target="_blank"&gt;Verified by Public Record&lt;/a&gt;</t>
  </si>
  <si>
    <t>&lt;a href="http://a836-acris.nyc.gov/DS/DocumentSearch/DocumentDetail?doc_id=2018122600496001" target="_blank"&gt;Verified by Public Record&lt;/a&gt;</t>
  </si>
  <si>
    <t>&lt;a href="http://a836-acris.nyc.gov/DS/DocumentSearch/DocumentDetail?doc_id=2016082900476001" target="_blank"&gt;Verified by Public Record&lt;/a&gt;</t>
  </si>
  <si>
    <t>&lt;a href="http://a836-acris.nyc.gov/DS/DocumentSearch/DocumentDetail?doc_id=2016061600668001" target="_blank"&gt;Verified by Public Record&lt;/a&gt;</t>
  </si>
  <si>
    <t>&lt;a href="http://a836-acris.nyc.gov/DS/DocumentSearch/DocumentDetail?doc_id=2016042900508001" target="_blank"&gt;Verified by Public Record&lt;/a&gt;</t>
  </si>
  <si>
    <t>&lt;a href="http://a836-acris.nyc.gov/DS/DocumentSearch/DocumentDetail?doc_id=2015092400285003" target="_blank"&gt;Verified by Public Record&lt;/a&gt;</t>
  </si>
  <si>
    <t>&lt;a href="http://a836-acris.nyc.gov/DS/DocumentSearch/DocumentDetail?doc_id=2018050101083001" target="_blank"&gt;Verified by Public Record&lt;/a&gt;</t>
  </si>
  <si>
    <t>&lt;a href="http://a836-acris.nyc.gov/DS/DocumentSearch/DocumentDetail?doc_id=2019040101095003" target="_blank"&gt;Verified by Public Record&lt;/a&gt;</t>
  </si>
  <si>
    <t>Private Terrace
Roof Deck
Common Roof Deck
Playground
Private Outdoor Space</t>
  </si>
  <si>
    <t>&lt;a href="http://a836-acris.nyc.gov/DS/DocumentSearch/DocumentDetail?doc_id=2018111900249001" target="_blank"&gt;Verified by Public Record&lt;/a&gt;</t>
  </si>
  <si>
    <t>&lt;a href="http://a836-acris.nyc.gov/DS/DocumentSearch/DocumentDetail?doc_id=2020050700443001" target="_blank"&gt;Verified by Public Record&lt;/a&gt;</t>
  </si>
  <si>
    <t>&lt;a href="http://a836-acris.nyc.gov/DS/DocumentSearch/DocumentDetail?doc_id=2015112300853001" target="_blank"&gt;Public Record Only&lt;/a&gt;</t>
  </si>
  <si>
    <t>&lt;a href="http://a836-acris.nyc.gov/DS/DocumentSearch/DocumentDetail?doc_id=2017063000137003" target="_blank"&gt;Public Record Only&lt;/a&gt;</t>
  </si>
  <si>
    <t>&lt;a href="http://a836-acris.nyc.gov/DS/DocumentSearch/DocumentDetail?doc_id=2018042100068001" target="_blank"&gt;Public Record Only&lt;/a&gt;</t>
  </si>
  <si>
    <t>&lt;a href="http://a836-acris.nyc.gov/DS/DocumentSearch/DocumentDetail?doc_id=2017111000647001" target="_blank"&gt;Public Record Only&lt;/a&gt;</t>
  </si>
  <si>
    <t>&lt;a href="http://a836-acris.nyc.gov/DS/DocumentSearch/DocumentDetail?doc_id=2017092900631001" target="_blank"&gt;Public Record Only&lt;/a&gt;</t>
  </si>
  <si>
    <t>&lt;a href="http://a836-acris.nyc.gov/DS/DocumentSearch/DocumentDetail?doc_id=2018102600994001" target="_blank"&gt;Verified by Public Record&lt;/a&gt;</t>
  </si>
  <si>
    <t>&lt;a href="http://a836-acris.nyc.gov/DS/DocumentSearch/DocumentDetail?doc_id=2018101100483001" target="_blank"&gt;Verified by Public Record&lt;/a&gt;</t>
  </si>
  <si>
    <t>&lt;a href="http://a836-acris.nyc.gov/DS/DocumentSearch/DocumentDetail?doc_id=2020102000700001" target="_blank"&gt;Verified by Public Record&lt;/a&gt;</t>
  </si>
  <si>
    <t>&lt;a href="http://a836-acris.nyc.gov/DS/DocumentSearch/DocumentDetail?doc_id=2019070200154001" target="_blank"&gt;Verified by Public Record&lt;/a&gt;</t>
  </si>
  <si>
    <t>&lt;a href="http://a836-acris.nyc.gov/DS/DocumentSearch/DocumentDetail?doc_id=2018102600879004" target="_blank"&gt;Verified by Public Record&lt;/a&gt;</t>
  </si>
  <si>
    <t>&lt;a href="http://a836-acris.nyc.gov/DS/DocumentSearch/DocumentDetail?doc_id=2015101300523002" target="_blank"&gt;Verified by Public Record&lt;/a&gt;</t>
  </si>
  <si>
    <t>&lt;a href="http://a836-acris.nyc.gov/DS/DocumentSearch/DocumentDetail?doc_id=2021071501398001" target="_blank"&gt;Verified by Public Record&lt;/a&gt;</t>
  </si>
  <si>
    <t>&lt;a href="http://a836-acris.nyc.gov/DS/DocumentSearch/DocumentDetail?doc_id=2015122800204001" target="_blank"&gt;Verified by Public Record&lt;/a&gt;</t>
  </si>
  <si>
    <t>&lt;a href="http://a836-acris.nyc.gov/DS/DocumentSearch/DocumentDetail?doc_id=2016091401466001" target="_blank"&gt;Verified by Public Record&lt;/a&gt;</t>
  </si>
  <si>
    <t>&lt;a href="http://a836-acris.nyc.gov/DS/DocumentSearch/DocumentDetail?doc_id=2017011100459001" target="_blank"&gt;Verified by Public Record&lt;/a&gt;</t>
  </si>
  <si>
    <t>&lt;a href="http://a836-acris.nyc.gov/DS/DocumentSearch/DocumentDetail?doc_id=2021071000096001" target="_blank"&gt;Verified by Public Record&lt;/a&gt;</t>
  </si>
  <si>
    <t>&lt;a href="http://a836-acris.nyc.gov/DS/DocumentSearch/DocumentDetail?doc_id=2015102800915001" target="_blank"&gt;Verified by Public Record&lt;/a&gt;</t>
  </si>
  <si>
    <t>&lt;a href="http://a836-acris.nyc.gov/DS/DocumentSearch/DocumentDetail?doc_id=2015122200166001" target="_blank"&gt;Verified by Public Record&lt;/a&gt;</t>
  </si>
  <si>
    <t>&lt;a href="http://a836-acris.nyc.gov/DS/DocumentSearch/DocumentDetail?doc_id=2021052700862003" target="_blank"&gt;Verified by Public Record&lt;/a&gt;</t>
  </si>
  <si>
    <t>&lt;a href="http://a836-acris.nyc.gov/DS/DocumentSearch/DocumentDetail?doc_id=2016012500498004" target="_blank"&gt;Verified by Public Record&lt;/a&gt;</t>
  </si>
  <si>
    <t>&lt;a href="http://a836-acris.nyc.gov/DS/DocumentSearch/DocumentDetail?doc_id=2020010901119001" target="_blank"&gt;Verified by Public Record&lt;/a&gt;</t>
  </si>
  <si>
    <t>&lt;a href="http://a836-acris.nyc.gov/DS/DocumentSearch/DocumentDetail?doc_id=2017070400022001" target="_blank"&gt;Verified by Public Record&lt;/a&gt;</t>
  </si>
  <si>
    <t>&lt;a href="http://a836-acris.nyc.gov/DS/DocumentSearch/DocumentDetail?doc_id=2016032100369001" target="_blank"&gt;Verified by Public Record&lt;/a&gt;</t>
  </si>
  <si>
    <t>&lt;a href="http://a836-acris.nyc.gov/DS/DocumentSearch/DocumentDetail?doc_id=2016060301180001" target="_blank"&gt;Verified by Public Record&lt;/a&gt;</t>
  </si>
  <si>
    <t>&lt;a href="http://a836-acris.nyc.gov/DS/DocumentSearch/DocumentDetail?doc_id=2016040500757001" target="_blank"&gt;Verified by Public Record&lt;/a&gt;</t>
  </si>
  <si>
    <t>&lt;a href="http://a836-acris.nyc.gov/DS/DocumentSearch/DocumentDetail?doc_id=2016020100350001" target="_blank"&gt;Verified by Public Record&lt;/a&gt;</t>
  </si>
  <si>
    <t>&lt;a href="http://a836-acris.nyc.gov/DS/DocumentSearch/DocumentDetail?doc_id=2015122600039001" target="_blank"&gt;Verified by Public Record&lt;/a&gt;</t>
  </si>
  <si>
    <t>&lt;a href="http://a836-acris.nyc.gov/DS/DocumentSearch/DocumentDetail?doc_id=2016101400804002" target="_blank"&gt;Verified by Public Record&lt;/a&gt;</t>
  </si>
  <si>
    <t>&lt;a href="http://a836-acris.nyc.gov/DS/DocumentSearch/DocumentDetail?doc_id=2016012800777001" target="_blank"&gt;Verified by Public Record&lt;/a&gt;</t>
  </si>
  <si>
    <t>&lt;a href="http://a836-acris.nyc.gov/DS/DocumentSearch/DocumentDetail?doc_id=2021080200441002" target="_blank"&gt;Public Record Only&lt;/a&gt;</t>
  </si>
  <si>
    <t>&lt;a href="http://a836-acris.nyc.gov/DS/DocumentSearch/DocumentDetail?doc_id=2016062800756003" target="_blank"&gt;Verified by Public Record&lt;/a&gt;</t>
  </si>
  <si>
    <t>&lt;a href="http://a836-acris.nyc.gov/DS/DocumentSearch/DocumentDetail?doc_id=2015110301072001" target="_blank"&gt;Verified by Public Record&lt;/a&gt;</t>
  </si>
  <si>
    <t>&lt;a href="http://a836-acris.nyc.gov/DS/DocumentSearch/DocumentDetail?doc_id=2015102800541001" target="_blank"&gt;Verified by Public Record&lt;/a&gt;</t>
  </si>
  <si>
    <t>&lt;a href="http://a836-acris.nyc.gov/DS/DocumentSearch/DocumentDetail?doc_id=2016011501003001" target="_blank"&gt;Verified by Public Record&lt;/a&gt;</t>
  </si>
  <si>
    <t>&lt;a href="http://a836-acris.nyc.gov/DS/DocumentSearch/DocumentDetail?doc_id=2016022300443001" target="_blank"&gt;Verified by Public Record&lt;/a&gt;</t>
  </si>
  <si>
    <t>&lt;a href="http://a836-acris.nyc.gov/DS/DocumentSearch/DocumentDetail?doc_id=2015122901238001" target="_blank"&gt;Verified by Public Record&lt;/a&gt;</t>
  </si>
  <si>
    <t>&lt;a href="http://a836-acris.nyc.gov/DS/DocumentSearch/DocumentDetail?doc_id=2016020401394003" target="_blank"&gt;Verified by Public Record&lt;/a&gt;</t>
  </si>
  <si>
    <t>&lt;a href="http://a836-acris.nyc.gov/DS/DocumentSearch/DocumentDetail?doc_id=2015100700842001" target="_blank"&gt;Verified by Public Record&lt;/a&gt;</t>
  </si>
  <si>
    <t>&lt;a href="http://a836-acris.nyc.gov/DS/DocumentSearch/DocumentDetail?doc_id=2016022400312001" target="_blank"&gt;Verified by Public Record&lt;/a&gt;</t>
  </si>
  <si>
    <t>&lt;a href="http://a836-acris.nyc.gov/DS/DocumentSearch/DocumentDetail?doc_id=2016042500536002" target="_blank"&gt;Verified by Public Record&lt;/a&gt;</t>
  </si>
  <si>
    <t>&lt;a href="http://a836-acris.nyc.gov/DS/DocumentSearch/DocumentDetail?doc_id=2020031700200002" target="_blank"&gt;Verified by Public Record&lt;/a&gt;</t>
  </si>
  <si>
    <t>&lt;a href="http://a836-acris.nyc.gov/DS/DocumentSearch/DocumentDetail?doc_id=2020031600348001" target="_blank"&gt;Verified by Public Record&lt;/a&gt;</t>
  </si>
  <si>
    <t>Private Terrace
Patio
Common Outdoor Space
Private Outdoor Space</t>
  </si>
  <si>
    <t>&lt;a href="http://a836-acris.nyc.gov/DS/DocumentSearch/DocumentDetail?doc_id=2016030300792001" target="_blank"&gt;Verified by Public Record&lt;/a&gt;</t>
  </si>
  <si>
    <t>&lt;a href="http://a836-acris.nyc.gov/DS/DocumentSearch/DocumentDetail?doc_id=2015101901223002" target="_blank"&gt;Verified by Public Record&lt;/a&gt;</t>
  </si>
  <si>
    <t>&lt;a href="http://a836-acris.nyc.gov/DS/DocumentSearch/DocumentDetail?doc_id=2015092200717003" target="_blank"&gt;Verified by Public Record&lt;/a&gt;</t>
  </si>
  <si>
    <t>&lt;a href="http://a836-acris.nyc.gov/DS/DocumentSearch/DocumentDetail?doc_id=2015123000586003" target="_blank"&gt;Public Record Only&lt;/a&gt;</t>
  </si>
  <si>
    <t>&lt;a href="http://a836-acris.nyc.gov/DS/DocumentSearch/DocumentDetail?doc_id=2016101400804001" target="_blank"&gt;Public Record Only&lt;/a&gt;</t>
  </si>
  <si>
    <t>&lt;a href="http://a836-acris.nyc.gov/DS/DocumentSearch/DocumentDetail?doc_id=2016040401271001" target="_blank"&gt;Verified by Public Record&lt;/a&gt;</t>
  </si>
  <si>
    <t>&lt;a href="http://a836-acris.nyc.gov/DS/DocumentSearch/DocumentDetail?doc_id=2020081100197004" target="_blank"&gt;Public Record Only&lt;/a&gt;</t>
  </si>
  <si>
    <t>&lt;a href="http://a836-acris.nyc.gov/DS/DocumentSearch/DocumentDetail?doc_id=2016052500409006" target="_blank"&gt;Verified by Public Record&lt;/a&gt;</t>
  </si>
  <si>
    <t>&lt;a href="http://a836-acris.nyc.gov/DS/DocumentSearch/DocumentDetail?doc_id=2020020300249001" target="_blank"&gt;Verified by Public Record&lt;/a&gt;</t>
  </si>
  <si>
    <t>&lt;a href="http://a836-acris.nyc.gov/DS/DocumentSearch/DocumentDetail?doc_id=2018062800856001" target="_blank"&gt;Verified by Public Record&lt;/a&gt;</t>
  </si>
  <si>
    <t>&lt;a href="http://a836-acris.nyc.gov/DS/DocumentSearch/DocumentDetail?doc_id=2021080400233002" target="_blank"&gt;Public Record Only&lt;/a&gt;</t>
  </si>
  <si>
    <t>&lt;a href="http://a836-acris.nyc.gov/DS/DocumentSearch/DocumentDetail?doc_id=2016031800367003" target="_blank"&gt;Verified by Public Record&lt;/a&gt;</t>
  </si>
  <si>
    <t>&lt;a href="http://a836-acris.nyc.gov/DS/DocumentSearch/DocumentDetail?doc_id=2016021901115001" target="_blank"&gt;Verified by Public Record&lt;/a&gt;</t>
  </si>
  <si>
    <t>&lt;a href="http://a836-acris.nyc.gov/DS/DocumentSearch/DocumentDetail?doc_id=2015123001469003" target="_blank"&gt;Verified by Public Record&lt;/a&gt;</t>
  </si>
  <si>
    <t>&lt;a href="http://a836-acris.nyc.gov/DS/DocumentSearch/DocumentDetail?doc_id=2015110600379001" target="_blank"&gt;Verified by Public Record&lt;/a&gt;</t>
  </si>
  <si>
    <t>&lt;a href="http://a836-acris.nyc.gov/DS/DocumentSearch/DocumentDetail?doc_id=2015112000570003" target="_blank"&gt;Verified by Public Record&lt;/a&gt;</t>
  </si>
  <si>
    <t>&lt;a href="http://a836-acris.nyc.gov/DS/DocumentSearch/DocumentDetail?doc_id=2015110600321001" target="_blank"&gt;Verified by Public Record&lt;/a&gt;</t>
  </si>
  <si>
    <t>&lt;a href="http://a836-acris.nyc.gov/DS/DocumentSearch/DocumentDetail?doc_id=2015111100203004" target="_blank"&gt;Verified by Public Record&lt;/a&gt;</t>
  </si>
  <si>
    <t>&lt;a href="http://a836-acris.nyc.gov/DS/DocumentSearch/DocumentDetail?doc_id=2016020400050001" target="_blank"&gt;Verified by Public Record&lt;/a&gt;</t>
  </si>
  <si>
    <t>&lt;a href="http://a836-acris.nyc.gov/DS/DocumentSearch/DocumentDetail?doc_id=2016030800522001" target="_blank"&gt;Verified by Public Record&lt;/a&gt;</t>
  </si>
  <si>
    <t>&lt;a href="http://a836-acris.nyc.gov/DS/DocumentSearch/DocumentDetail?doc_id=2017072800146002" target="_blank"&gt;Verified by Public Record&lt;/a&gt;</t>
  </si>
  <si>
    <t>&lt;a href="http://a836-acris.nyc.gov/DS/DocumentSearch/DocumentDetail?doc_id=2017082000037001" target="_blank"&gt;Verified by Public Record&lt;/a&gt;</t>
  </si>
  <si>
    <t>&lt;a href="http://a836-acris.nyc.gov/DS/DocumentSearch/DocumentDetail?doc_id=2016090601373001" target="_blank"&gt;Verified by Public Record&lt;/a&gt;</t>
  </si>
  <si>
    <t>&lt;a href="http://a836-acris.nyc.gov/DS/DocumentSearch/DocumentDetail?doc_id=2017071700149001" target="_blank"&gt;Verified by Public Record&lt;/a&gt;</t>
  </si>
  <si>
    <t>&lt;a href="http://a836-acris.nyc.gov/DS/DocumentSearch/DocumentDetail?doc_id=2015121700353001" target="_blank"&gt;Verified by Public Record&lt;/a&gt;</t>
  </si>
  <si>
    <t>&lt;a href="http://a836-acris.nyc.gov/DS/DocumentSearch/DocumentDetail?doc_id=2015102300231001" target="_blank"&gt;Verified by Public Record&lt;/a&gt;</t>
  </si>
  <si>
    <t>&lt;a href="http://a836-acris.nyc.gov/DS/DocumentSearch/DocumentDetail?doc_id=2016112200324002" target="_blank"&gt;Verified by Public Record&lt;/a&gt;</t>
  </si>
  <si>
    <t>&lt;a href="http://a836-acris.nyc.gov/DS/DocumentSearch/DocumentDetail?doc_id=2017020700761001" target="_blank"&gt;Verified by Public Record&lt;/a&gt;</t>
  </si>
  <si>
    <t>&lt;a href="http://a836-acris.nyc.gov/DS/DocumentSearch/DocumentDetail?doc_id=2017013100510001" target="_blank"&gt;Verified by Public Record&lt;/a&gt;</t>
  </si>
  <si>
    <t>&lt;a href="http://a836-acris.nyc.gov/DS/DocumentSearch/DocumentDetail?doc_id=2016041900973001" target="_blank"&gt;Verified by Public Record&lt;/a&gt;</t>
  </si>
  <si>
    <t>&lt;a href="http://a836-acris.nyc.gov/DS/DocumentSearch/DocumentDetail?doc_id=2017020300302001" target="_blank"&gt;Verified by Public Record&lt;/a&gt;</t>
  </si>
  <si>
    <t>&lt;a href="http://a836-acris.nyc.gov/DS/DocumentSearch/DocumentDetail?doc_id=2015091401404001" target="_blank"&gt;Public Record Only&lt;/a&gt;</t>
  </si>
  <si>
    <t>&lt;a href="http://a836-acris.nyc.gov/DS/DocumentSearch/DocumentDetail?doc_id=2015100800272001" target="_blank"&gt;Public Record Only&lt;/a&gt;</t>
  </si>
  <si>
    <t>&lt;a href="http://a836-acris.nyc.gov/DS/DocumentSearch/DocumentDetail?doc_id=2015101200387001" target="_blank"&gt;Public Record Only&lt;/a&gt;</t>
  </si>
  <si>
    <t>&lt;a href="http://a836-acris.nyc.gov/DS/DocumentSearch/DocumentDetail?doc_id=2021042200912001" target="_blank"&gt;Public Record Only&lt;/a&gt;</t>
  </si>
  <si>
    <t>&lt;a href="http://a836-acris.nyc.gov/DS/DocumentSearch/DocumentDetail?doc_id=2018032800326001" target="_blank"&gt;Verified by Public Record&lt;/a&gt;</t>
  </si>
  <si>
    <t>&lt;a href="http://a836-acris.nyc.gov/DS/DocumentSearch/DocumentDetail?doc_id=2017110900640001" target="_blank"&gt;Verified by Public Record&lt;/a&gt;</t>
  </si>
  <si>
    <t>&lt;a href="http://a836-acris.nyc.gov/DS/DocumentSearch/DocumentDetail?doc_id=2016011100562001" target="_blank"&gt;Verified by Public Record&lt;/a&gt;</t>
  </si>
  <si>
    <t>&lt;a href="http://a836-acris.nyc.gov/DS/DocumentSearch/DocumentDetail?doc_id=2016032301130002" target="_blank"&gt;Verified by Public Record&lt;/a&gt;</t>
  </si>
  <si>
    <t>&lt;a href="http://a836-acris.nyc.gov/DS/DocumentSearch/DocumentDetail?doc_id=2015111900797002" target="_blank"&gt;Verified by Public Record&lt;/a&gt;</t>
  </si>
  <si>
    <t>&lt;a href="http://a836-acris.nyc.gov/DS/DocumentSearch/DocumentDetail?doc_id=2015102100442001" target="_blank"&gt;Verified by Public Record&lt;/a&gt;</t>
  </si>
  <si>
    <t>&lt;a href="http://a836-acris.nyc.gov/DS/DocumentSearch/DocumentDetail?doc_id=2016061000216001" target="_blank"&gt;Verified by Public Record&lt;/a&gt;</t>
  </si>
  <si>
    <t>&lt;a href="http://a836-acris.nyc.gov/DS/DocumentSearch/DocumentDetail?doc_id=2015121700264001" target="_blank"&gt;Verified by Public Record&lt;/a&gt;</t>
  </si>
  <si>
    <t>&lt;a href="http://a836-acris.nyc.gov/DS/DocumentSearch/DocumentDetail?doc_id=2015092400307001" target="_blank"&gt;Verified by Public Record&lt;/a&gt;</t>
  </si>
  <si>
    <t>&lt;a href="http://a836-acris.nyc.gov/DS/DocumentSearch/DocumentDetail?doc_id=2015102300419001" target="_blank"&gt;Verified by Public Record&lt;/a&gt;</t>
  </si>
  <si>
    <t>&lt;a href="http://a836-acris.nyc.gov/DS/DocumentSearch/DocumentDetail?doc_id=2016032300174003" target="_blank"&gt;Verified by Public Record&lt;/a&gt;</t>
  </si>
  <si>
    <t>&lt;a href="http://a836-acris.nyc.gov/DS/DocumentSearch/DocumentDetail?doc_id=2016011900290002" target="_blank"&gt;Verified by Public Record&lt;/a&gt;</t>
  </si>
  <si>
    <t>&lt;a href="http://a836-acris.nyc.gov/DS/DocumentSearch/DocumentDetail?doc_id=2016122901344001" target="_blank"&gt;Verified by Public Record&lt;/a&gt;</t>
  </si>
  <si>
    <t>&lt;a href="http://a836-acris.nyc.gov/DS/DocumentSearch/DocumentDetail?doc_id=2016071401034003" target="_blank"&gt;Verified by Public Record&lt;/a&gt;</t>
  </si>
  <si>
    <t>&lt;a href="http://a836-acris.nyc.gov/DS/DocumentSearch/DocumentDetail?doc_id=2016122300174001" target="_blank"&gt;Verified by Public Record&lt;/a&gt;</t>
  </si>
  <si>
    <t>&lt;a href="http://a836-acris.nyc.gov/DS/DocumentSearch/DocumentDetail?doc_id=2015100501447002" target="_blank"&gt;Verified by Public Record&lt;/a&gt;</t>
  </si>
  <si>
    <t>&lt;a href="http://a836-acris.nyc.gov/DS/DocumentSearch/DocumentDetail?doc_id=2016080200840002" target="_blank"&gt;Verified by Public Record&lt;/a&gt;</t>
  </si>
  <si>
    <t>&lt;a href="http://a836-acris.nyc.gov/DS/DocumentSearch/DocumentDetail?doc_id=2016050301043002" target="_blank"&gt;Verified by Public Record&lt;/a&gt;</t>
  </si>
  <si>
    <t>&lt;a href="http://a836-acris.nyc.gov/DS/DocumentSearch/DocumentDetail?doc_id=2016041400206001" target="_blank"&gt;Verified by Public Record&lt;/a&gt;</t>
  </si>
  <si>
    <t>&lt;a href="http://a836-acris.nyc.gov/DS/DocumentSearch/DocumentDetail?doc_id=2016033000603001" target="_blank"&gt;Verified by Public Record&lt;/a&gt;</t>
  </si>
  <si>
    <t>&lt;a href="http://a836-acris.nyc.gov/DS/DocumentSearch/DocumentDetail?doc_id=2017051700059001" target="_blank"&gt;Verified by Public Record&lt;/a&gt;</t>
  </si>
  <si>
    <t>&lt;a href="http://a836-acris.nyc.gov/DS/DocumentSearch/DocumentDetail?doc_id=2016072101413003" target="_blank"&gt;Verified by Public Record&lt;/a&gt;</t>
  </si>
  <si>
    <t>&lt;a href="http://a836-acris.nyc.gov/DS/DocumentSearch/DocumentDetail?doc_id=2016120700073001" target="_blank"&gt;Verified by Public Record&lt;/a&gt;</t>
  </si>
  <si>
    <t>&lt;a href="http://a836-acris.nyc.gov/DS/DocumentSearch/DocumentDetail?doc_id=2017062200299002" target="_blank"&gt;Verified by Public Record&lt;/a&gt;</t>
  </si>
  <si>
    <t>&lt;a href="http://a836-acris.nyc.gov/DS/DocumentSearch/DocumentDetail?doc_id=2016081901455001" target="_blank"&gt;Verified by Public Record&lt;/a&gt;</t>
  </si>
  <si>
    <t>&lt;a href="http://a836-acris.nyc.gov/DS/DocumentSearch/DocumentDetail?doc_id=2018053100755001" target="_blank"&gt;Verified by Public Record&lt;/a&gt;</t>
  </si>
  <si>
    <t>Balcony
Private Terrace
Deck
Roof Deck
Common Roof Deck
Common Garden
Common Outdoor Space</t>
  </si>
  <si>
    <t>&lt;a href="http://a836-acris.nyc.gov/DS/DocumentSearch/DocumentDetail?doc_id=2016060900911001" target="_blank"&gt;Verified by Public Record&lt;/a&gt;</t>
  </si>
  <si>
    <t>&lt;a href="http://a836-acris.nyc.gov/DS/DocumentSearch/DocumentDetail?doc_id=2015091500522001" target="_blank"&gt;Verified by Public Record&lt;/a&gt;</t>
  </si>
  <si>
    <t>&lt;a href="http://a836-acris.nyc.gov/DS/DocumentSearch/DocumentDetail?doc_id=2020110100008001" target="_blank"&gt;Verified by Public Record&lt;/a&gt;</t>
  </si>
  <si>
    <t>&lt;a href="http://a836-acris.nyc.gov/DS/DocumentSearch/DocumentDetail?doc_id=2019080900400001" target="_blank"&gt;Verified by Public Record&lt;/a&gt;</t>
  </si>
  <si>
    <t>&lt;a href="http://a836-acris.nyc.gov/DS/DocumentSearch/DocumentDetail?doc_id=2015091500914001" target="_blank"&gt;Verified by Public Record&lt;/a&gt;</t>
  </si>
  <si>
    <t>&lt;a href="http://a836-acris.nyc.gov/DS/DocumentSearch/DocumentDetail?doc_id=2015110900470002" target="_blank"&gt;Verified by Public Record&lt;/a&gt;</t>
  </si>
  <si>
    <t>&lt;a href="http://a836-acris.nyc.gov/DS/DocumentSearch/DocumentDetail?doc_id=2015112401315002" target="_blank"&gt;Verified by Public Record&lt;/a&gt;</t>
  </si>
  <si>
    <t>&lt;a href="http://a836-acris.nyc.gov/DS/DocumentSearch/DocumentDetail?doc_id=2016060100241003" target="_blank"&gt;Verified by Public Record&lt;/a&gt;</t>
  </si>
  <si>
    <t>&lt;a href="http://a836-acris.nyc.gov/DS/DocumentSearch/DocumentDetail?doc_id=2015100700031002" target="_blank"&gt;Verified by Public Record&lt;/a&gt;</t>
  </si>
  <si>
    <t>&lt;a href="http://a836-acris.nyc.gov/DS/DocumentSearch/DocumentDetail?doc_id=2016012100270006" target="_blank"&gt;Verified by Public Record&lt;/a&gt;</t>
  </si>
  <si>
    <t>&lt;a href="http://a836-acris.nyc.gov/DS/DocumentSearch/DocumentDetail?doc_id=2019111400393001" target="_blank"&gt;Verified by Public Record&lt;/a&gt;</t>
  </si>
  <si>
    <t>&lt;a href="http://a836-acris.nyc.gov/DS/DocumentSearch/DocumentDetail?doc_id=2017020700750001" target="_blank"&gt;Verified by Public Record&lt;/a&gt;</t>
  </si>
  <si>
    <t>&lt;a href="http://a836-acris.nyc.gov/DS/DocumentSearch/DocumentDetail?doc_id=2015091000148003" target="_blank"&gt;Verified by Public Record&lt;/a&gt;</t>
  </si>
  <si>
    <t>&lt;a href="http://a836-acris.nyc.gov/DS/DocumentSearch/DocumentDetail?doc_id=2016070700722001" target="_blank"&gt;Verified by Public Record&lt;/a&gt;</t>
  </si>
  <si>
    <t>&lt;a href="http://a836-acris.nyc.gov/DS/DocumentSearch/DocumentDetail?doc_id=2016070601446001" target="_blank"&gt;Verified by Public Record&lt;/a&gt;</t>
  </si>
  <si>
    <t>&lt;a href="http://a836-acris.nyc.gov/DS/DocumentSearch/DocumentDetail?doc_id=2015110300362001" target="_blank"&gt;Verified by Public Record&lt;/a&gt;</t>
  </si>
  <si>
    <t>&lt;a href="http://a836-acris.nyc.gov/DS/DocumentSearch/DocumentDetail?doc_id=2016042500985002" target="_blank"&gt;Verified by Public Record&lt;/a&gt;</t>
  </si>
  <si>
    <t>&lt;a href="http://a836-acris.nyc.gov/DS/DocumentSearch/DocumentDetail?doc_id=2016082300394003" target="_blank"&gt;Verified by Public Record&lt;/a&gt;</t>
  </si>
  <si>
    <t>&lt;a href="http://a836-acris.nyc.gov/DS/DocumentSearch/DocumentDetail?doc_id=2017061400396001" target="_blank"&gt;Verified by Public Record&lt;/a&gt;</t>
  </si>
  <si>
    <t>&lt;a href="http://a836-acris.nyc.gov/DS/DocumentSearch/DocumentDetail?doc_id=2017060601141001" target="_blank"&gt;Verified by Public Record&lt;/a&gt;</t>
  </si>
  <si>
    <t>&lt;a href="http://a836-acris.nyc.gov/DS/DocumentSearch/DocumentDetail?doc_id=2015100701103001" target="_blank"&gt;Public Record Only&lt;/a&gt;</t>
  </si>
  <si>
    <t>&lt;a href="http://a836-acris.nyc.gov/DS/DocumentSearch/DocumentDetail?doc_id=2015100900984002" target="_blank"&gt;Verified by Public Record&lt;/a&gt;</t>
  </si>
  <si>
    <t>&lt;a href="http://a836-acris.nyc.gov/DS/DocumentSearch/DocumentDetail?doc_id=2016091600249001" target="_blank"&gt;Verified by Public Record&lt;/a&gt;</t>
  </si>
  <si>
    <t>&lt;a href="http://a836-acris.nyc.gov/DS/DocumentSearch/DocumentDetail?doc_id=2016080800783001" target="_blank"&gt;Verified by Public Record&lt;/a&gt;</t>
  </si>
  <si>
    <t>&lt;a href="http://a836-acris.nyc.gov/DS/DocumentSearch/DocumentDetail?doc_id=2017031701142003" target="_blank"&gt;Verified by Public Record&lt;/a&gt;</t>
  </si>
  <si>
    <t>&lt;a href="http://a836-acris.nyc.gov/DS/DocumentSearch/DocumentDetail?doc_id=2017060601337003" target="_blank"&gt;Verified by Public Record&lt;/a&gt;</t>
  </si>
  <si>
    <t>&lt;a href="http://a836-acris.nyc.gov/DS/DocumentSearch/DocumentDetail?doc_id=2020020300930004" target="_blank"&gt;Verified by Public Record&lt;/a&gt;</t>
  </si>
  <si>
    <t>&lt;a href="http://a836-acris.nyc.gov/DS/DocumentSearch/DocumentDetail?doc_id=2020022500479003" target="_blank"&gt;Verified by Public Record&lt;/a&gt;</t>
  </si>
  <si>
    <t>&lt;a href="http://a836-acris.nyc.gov/DS/DocumentSearch/DocumentDetail?doc_id=2020021000519003" target="_blank"&gt;Verified by Public Record&lt;/a&gt;</t>
  </si>
  <si>
    <t>&lt;a href="http://a836-acris.nyc.gov/DS/DocumentSearch/DocumentDetail?doc_id=2016070801277001" target="_blank"&gt;Public Record Only&lt;/a&gt;</t>
  </si>
  <si>
    <t>&lt;a href="http://a836-acris.nyc.gov/DS/DocumentSearch/DocumentDetail?doc_id=2017110801161003" target="_blank"&gt;Public Record Only&lt;/a&gt;</t>
  </si>
  <si>
    <t>&lt;a href="http://a836-acris.nyc.gov/DS/DocumentSearch/DocumentDetail?doc_id=2015100500625001" target="_blank"&gt;Public Record Only&lt;/a&gt;</t>
  </si>
  <si>
    <t>&lt;a href="http://a836-acris.nyc.gov/DS/DocumentSearch/DocumentDetail?doc_id=2015100201127001" target="_blank"&gt;Public Record Only&lt;/a&gt;</t>
  </si>
  <si>
    <t>&lt;a href="http://a836-acris.nyc.gov/DS/DocumentSearch/DocumentDetail?doc_id=2017072800229002" target="_blank"&gt;Public Record Only&lt;/a&gt;</t>
  </si>
  <si>
    <t>&lt;a href="http://a836-acris.nyc.gov/DS/DocumentSearch/DocumentDetail?doc_id=2016061402430001" target="_blank"&gt;Public Record Only&lt;/a&gt;</t>
  </si>
  <si>
    <t>&lt;a href="http://a836-acris.nyc.gov/DS/DocumentSearch/DocumentDetail?doc_id=2015091600525001" target="_blank"&gt;Public Record Only&lt;/a&gt;</t>
  </si>
  <si>
    <t>&lt;a href="http://a836-acris.nyc.gov/DS/DocumentSearch/DocumentDetail?doc_id=2016122202145002" target="_blank"&gt;Public Record Only&lt;/a&gt;</t>
  </si>
  <si>
    <t>&lt;a href="http://a836-acris.nyc.gov/DS/DocumentSearch/DocumentDetail?doc_id=2017110201837001" target="_blank"&gt;Public Record Only&lt;/a&gt;</t>
  </si>
  <si>
    <t>&lt;a href="http://a836-acris.nyc.gov/DS/DocumentSearch/DocumentDetail?doc_id=2015101600279001" target="_blank"&gt;Public Record Only&lt;/a&gt;</t>
  </si>
  <si>
    <t>&lt;a href="http://a836-acris.nyc.gov/DS/DocumentSearch/DocumentDetail?doc_id=2016022400153001" target="_blank"&gt;Public Record Only&lt;/a&gt;</t>
  </si>
  <si>
    <t>&lt;a href="http://a836-acris.nyc.gov/DS/DocumentSearch/DocumentDetail?doc_id=2020062400265002" target="_blank"&gt;Public Record Only&lt;/a&gt;</t>
  </si>
  <si>
    <t>&lt;a href="http://a836-acris.nyc.gov/DS/DocumentSearch/DocumentDetail?doc_id=2015102000787001" target="_blank"&gt;Public Record Only&lt;/a&gt;</t>
  </si>
  <si>
    <t>&lt;a href="http://a836-acris.nyc.gov/DS/DocumentSearch/DocumentDetail?doc_id=2016050400004001" target="_blank"&gt;Verified by Public Record&lt;/a&gt;</t>
  </si>
  <si>
    <t>Balcony
Common Roof Deck
Private Outdoor Space</t>
  </si>
  <si>
    <t>&lt;a href="http://a836-acris.nyc.gov/DS/DocumentSearch/DocumentDetail?doc_id=2020070800159001" target="_blank"&gt;Verified by Public Record&lt;/a&gt;</t>
  </si>
  <si>
    <t>Balcony
Juliet Balcony
Private Terrace
Common Roof Deck
Private Outdoor Space</t>
  </si>
  <si>
    <t>Morningside Heights</t>
  </si>
  <si>
    <t>&lt;a href="http://a836-acris.nyc.gov/DS/DocumentSearch/DocumentDetail?doc_id=2019062400141001" target="_blank"&gt;Verified by Public Record&lt;/a&gt;</t>
  </si>
  <si>
    <t>&lt;a href="http://a836-acris.nyc.gov/DS/DocumentSearch/DocumentDetail?doc_id=2019070900079004" target="_blank"&gt;Verified by Public Record&lt;/a&gt;</t>
  </si>
  <si>
    <t>&lt;a href="http://a836-acris.nyc.gov/DS/DocumentSearch/DocumentDetail?doc_id=2019082100619001" target="_blank"&gt;Verified by Public Record&lt;/a&gt;</t>
  </si>
  <si>
    <t>&lt;a href="http://a836-acris.nyc.gov/DS/DocumentSearch/DocumentDetail?doc_id=2020072400503001" target="_blank"&gt;Verified by Public Record&lt;/a&gt;</t>
  </si>
  <si>
    <t>Balcony
Juliet Balcony
Private Roof Deck
Common Roof Deck
Private Outdoor Space</t>
  </si>
  <si>
    <t>&lt;a href="http://a836-acris.nyc.gov/DS/DocumentSearch/DocumentDetail?doc_id=2020020400883001" target="_blank"&gt;Verified by Public Record&lt;/a&gt;</t>
  </si>
  <si>
    <t>&lt;a href="http://a836-acris.nyc.gov/DS/DocumentSearch/DocumentDetail?doc_id=2019122300731001" target="_blank"&gt;Verified by Public Record&lt;/a&gt;</t>
  </si>
  <si>
    <t>&lt;a href="http://a836-acris.nyc.gov/DS/DocumentSearch/DocumentDetail?doc_id=2019043000595001" target="_blank"&gt;Verified by Public Record&lt;/a&gt;</t>
  </si>
  <si>
    <t>&lt;a href="http://a836-acris.nyc.gov/DS/DocumentSearch/DocumentDetail?doc_id=2019051500383001" target="_blank"&gt;Verified by Public Record&lt;/a&gt;</t>
  </si>
  <si>
    <t>&lt;a href="http://a836-acris.nyc.gov/DS/DocumentSearch/DocumentDetail?doc_id=2021062801219002" target="_blank"&gt;Verified by Public Record&lt;/a&gt;</t>
  </si>
  <si>
    <t>&lt;a href="http://a836-acris.nyc.gov/DS/DocumentSearch/DocumentDetail?doc_id=2020012901180001" target="_blank"&gt;Verified by Public Record&lt;/a&gt;</t>
  </si>
  <si>
    <t>&lt;a href="http://a836-acris.nyc.gov/DS/DocumentSearch/DocumentDetail?doc_id=2019081100001001" target="_blank"&gt;Verified by Public Record&lt;/a&gt;</t>
  </si>
  <si>
    <t>&lt;a href="http://a836-acris.nyc.gov/DS/DocumentSearch/DocumentDetail?doc_id=2019102500088001" target="_blank"&gt;Verified by Public Record&lt;/a&gt;</t>
  </si>
  <si>
    <t>&lt;a href="http://a836-acris.nyc.gov/DS/DocumentSearch/DocumentDetail?doc_id=2019062700439005" target="_blank"&gt;Verified by Public Record&lt;/a&gt;</t>
  </si>
  <si>
    <t>&lt;a href="http://a836-acris.nyc.gov/DS/DocumentSearch/DocumentDetail?doc_id=2019062800301008" target="_blank"&gt;Verified by Public Record&lt;/a&gt;</t>
  </si>
  <si>
    <t>&lt;a href="http://a836-acris.nyc.gov/DS/DocumentSearch/DocumentDetail?doc_id=2019072900313003" target="_blank"&gt;Verified by Public Record&lt;/a&gt;</t>
  </si>
  <si>
    <t>&lt;a href="http://a836-acris.nyc.gov/DS/DocumentSearch/DocumentDetail?doc_id=2019050900615001" target="_blank"&gt;Verified by Public Record&lt;/a&gt;</t>
  </si>
  <si>
    <t>&lt;a href="http://a836-acris.nyc.gov/DS/DocumentSearch/DocumentDetail?doc_id=2019050700673003" target="_blank"&gt;Verified by Public Record&lt;/a&gt;</t>
  </si>
  <si>
    <t>&lt;a href="http://a836-acris.nyc.gov/DS/DocumentSearch/DocumentDetail?doc_id=2019080800878001" target="_blank"&gt;Verified by Public Record&lt;/a&gt;</t>
  </si>
  <si>
    <t>&lt;a href="http://a836-acris.nyc.gov/DS/DocumentSearch/DocumentDetail?doc_id=2019072300821002" target="_blank"&gt;Verified by Public Record&lt;/a&gt;</t>
  </si>
  <si>
    <t>&lt;a href="http://a836-acris.nyc.gov/DS/DocumentSearch/DocumentDetail?doc_id=2019071201014005" target="_blank"&gt;Verified by Public Record&lt;/a&gt;</t>
  </si>
  <si>
    <t>&lt;a href="http://a836-acris.nyc.gov/DS/DocumentSearch/DocumentDetail?doc_id=2019071500236001" target="_blank"&gt;Verified by Public Record&lt;/a&gt;</t>
  </si>
  <si>
    <t>&lt;a href="http://a836-acris.nyc.gov/DS/DocumentSearch/DocumentDetail?doc_id=2019071201206005" target="_blank"&gt;Verified by Public Record&lt;/a&gt;</t>
  </si>
  <si>
    <t>&lt;a href="http://a836-acris.nyc.gov/DS/DocumentSearch/DocumentDetail?doc_id=2019071200156002" target="_blank"&gt;Verified by Public Record&lt;/a&gt;</t>
  </si>
  <si>
    <t>&lt;a href="http://a836-acris.nyc.gov/DS/DocumentSearch/DocumentDetail?doc_id=2021013100042001" target="_blank"&gt;Verified by Public Record&lt;/a&gt;</t>
  </si>
  <si>
    <t>&lt;a href="http://a836-acris.nyc.gov/DS/DocumentSearch/DocumentDetail?doc_id=2019071201157006" target="_blank"&gt;Verified by Public Record&lt;/a&gt;</t>
  </si>
  <si>
    <t>&lt;a href="http://a836-acris.nyc.gov/DS/DocumentSearch/DocumentDetail?doc_id=2019071200315003" target="_blank"&gt;Verified by Public Record&lt;/a&gt;</t>
  </si>
  <si>
    <t>&lt;a href="http://a836-acris.nyc.gov/DS/DocumentSearch/DocumentDetail?doc_id=2020020600689002" target="_blank"&gt;Verified by Public Record&lt;/a&gt;</t>
  </si>
  <si>
    <t>&lt;a href="http://a836-acris.nyc.gov/DS/DocumentSearch/DocumentDetail?doc_id=2019061900922001" target="_blank"&gt;Verified by Public Record&lt;/a&gt;</t>
  </si>
  <si>
    <t>&lt;a href="http://a836-acris.nyc.gov/DS/DocumentSearch/DocumentDetail?doc_id=2019070800883001" target="_blank"&gt;Verified by Public Record&lt;/a&gt;</t>
  </si>
  <si>
    <t>&lt;a href="http://a836-acris.nyc.gov/DS/DocumentSearch/DocumentDetail?doc_id=2019070300893001" target="_blank"&gt;Verified by Public Record&lt;/a&gt;</t>
  </si>
  <si>
    <t>&lt;a href="http://a836-acris.nyc.gov/DS/DocumentSearch/DocumentDetail?doc_id=2020022000145001" target="_blank"&gt;Verified by Public Record&lt;/a&gt;</t>
  </si>
  <si>
    <t>Deck
Roof Deck
Common Roof Deck
Common Garden
Common Outdoor Space
Private Outdoor Space</t>
  </si>
  <si>
    <t>Balcony
Deck
Roof Deck
Common Roof Deck
Common Garden
Common Outdoor Space
Private Outdoor Space</t>
  </si>
  <si>
    <t>Balcony
Deck
Roof Deck
Common Roof Deck
Common Garden
Common Outdoor Space</t>
  </si>
  <si>
    <t>&lt;a href="http://a836-acris.nyc.gov/DS/DocumentSearch/DocumentDetail?doc_id=2020120700099001" target="_blank"&gt;Verified by Public Record&lt;/a&gt;</t>
  </si>
  <si>
    <t>&lt;a href="http://a836-acris.nyc.gov/DS/DocumentSearch/DocumentDetail?doc_id=2016101400526001" target="_blank"&gt;Verified by Public Record&lt;/a&gt;</t>
  </si>
  <si>
    <t>&lt;a href="http://a836-acris.nyc.gov/DS/DocumentSearch/DocumentDetail?doc_id=2019123100435001" target="_blank"&gt;Verified by Public Record&lt;/a&gt;</t>
  </si>
  <si>
    <t>&lt;a href="http://a836-acris.nyc.gov/DS/DocumentSearch/DocumentDetail?doc_id=2021060400435001" target="_blank"&gt;Public Record Only&lt;/a&gt;</t>
  </si>
  <si>
    <t>&lt;a href="http://a836-acris.nyc.gov/DS/DocumentSearch/DocumentDetail?doc_id=2017032901139001" target="_blank"&gt;Verified by Public Record&lt;/a&gt;</t>
  </si>
  <si>
    <t>&lt;a href="http://a836-acris.nyc.gov/DS/DocumentSearch/DocumentDetail?doc_id=2016091400691001" target="_blank"&gt;Verified by Public Record&lt;/a&gt;</t>
  </si>
  <si>
    <t>&lt;a href="http://a836-acris.nyc.gov/DS/DocumentSearch/DocumentDetail?doc_id=2016081600445002" target="_blank"&gt;Verified by Public Record&lt;/a&gt;</t>
  </si>
  <si>
    <t>&lt;a href="http://a836-acris.nyc.gov/DS/DocumentSearch/DocumentDetail?doc_id=2016082300195002" target="_blank"&gt;Verified by Public Record&lt;/a&gt;</t>
  </si>
  <si>
    <t>&lt;a href="http://a836-acris.nyc.gov/DS/DocumentSearch/DocumentDetail?doc_id=2016080201015002" target="_blank"&gt;Verified by Public Record&lt;/a&gt;</t>
  </si>
  <si>
    <t>&lt;a href="http://a836-acris.nyc.gov/DS/DocumentSearch/DocumentDetail?doc_id=2016102800670002" target="_blank"&gt;Verified by Public Record&lt;/a&gt;</t>
  </si>
  <si>
    <t>&lt;a href="http://a836-acris.nyc.gov/DS/DocumentSearch/DocumentDetail?doc_id=2020012800733001" target="_blank"&gt;Verified by Public Record&lt;/a&gt;</t>
  </si>
  <si>
    <t>&lt;a href="http://a836-acris.nyc.gov/DS/DocumentSearch/DocumentDetail?doc_id=2021032501066001" target="_blank"&gt;Verified by Public Record&lt;/a&gt;</t>
  </si>
  <si>
    <t>&lt;a href="http://a836-acris.nyc.gov/DS/DocumentSearch/DocumentDetail?doc_id=2021032500934001" target="_blank"&gt;Verified by Public Record&lt;/a&gt;</t>
  </si>
  <si>
    <t>&lt;a href="http://a836-acris.nyc.gov/DS/DocumentSearch/DocumentDetail?doc_id=2019070500844001" target="_blank"&gt;Verified by Public Record&lt;/a&gt;</t>
  </si>
  <si>
    <t>&lt;a href="http://a836-acris.nyc.gov/DS/DocumentSearch/DocumentDetail?doc_id=2021032500860001" target="_blank"&gt;Public Record Only&lt;/a&gt;</t>
  </si>
  <si>
    <t>&lt;a href="http://a836-acris.nyc.gov/DS/DocumentSearch/DocumentDetail?doc_id=2021060700397001" target="_blank"&gt;Public Record Only&lt;/a&gt;</t>
  </si>
  <si>
    <t>&lt;a href="http://a836-acris.nyc.gov/DS/DocumentSearch/DocumentDetail?doc_id=2021032501006001" target="_blank"&gt;Public Record Only&lt;/a&gt;</t>
  </si>
  <si>
    <t>&lt;a href="http://a836-acris.nyc.gov/DS/DocumentSearch/DocumentDetail?doc_id=2019062600738001" target="_blank"&gt;Verified by Public Record&lt;/a&gt;</t>
  </si>
  <si>
    <t>&lt;a href="http://a836-acris.nyc.gov/DS/DocumentSearch/DocumentDetail?doc_id=2019061401044002" target="_blank"&gt;Verified by Public Record&lt;/a&gt;</t>
  </si>
  <si>
    <t>&lt;a href="http://a836-acris.nyc.gov/DS/DocumentSearch/DocumentDetail?doc_id=2019071000330001" target="_blank"&gt;Verified by Public Record&lt;/a&gt;</t>
  </si>
  <si>
    <t>&lt;a href="http://a836-acris.nyc.gov/DS/DocumentSearch/DocumentDetail?doc_id=2019070901244001" target="_blank"&gt;Verified by Public Record&lt;/a&gt;</t>
  </si>
  <si>
    <t>&lt;a href="http://a836-acris.nyc.gov/DS/DocumentSearch/DocumentDetail?doc_id=2020011400456001" target="_blank"&gt;Verified by Public Record&lt;/a&gt;</t>
  </si>
  <si>
    <t>&lt;a href="http://a836-acris.nyc.gov/DS/DocumentSearch/DocumentDetail?doc_id=2019060700616001" target="_blank"&gt;Verified by Public Record&lt;/a&gt;</t>
  </si>
  <si>
    <t>&lt;a href="http://a836-acris.nyc.gov/DS/DocumentSearch/DocumentDetail?doc_id=2019060300726002" target="_blank"&gt;Verified by Public Record&lt;/a&gt;</t>
  </si>
  <si>
    <t>&lt;a href="http://a836-acris.nyc.gov/DS/DocumentSearch/DocumentDetail?doc_id=2019072200607001" target="_blank"&gt;Verified by Public Record&lt;/a&gt;</t>
  </si>
  <si>
    <t>&lt;a href="http://a836-acris.nyc.gov/DS/DocumentSearch/DocumentDetail?doc_id=2019071600269001" target="_blank"&gt;Verified by Public Record&lt;/a&gt;</t>
  </si>
  <si>
    <t>&lt;a href="http://a836-acris.nyc.gov/DS/DocumentSearch/DocumentDetail?doc_id=2019073000501002" target="_blank"&gt;Verified by Public Record&lt;/a&gt;</t>
  </si>
  <si>
    <t>&lt;a href="http://a836-acris.nyc.gov/DS/DocumentSearch/DocumentDetail?doc_id=2019123100519001" target="_blank"&gt;Verified by Public Record&lt;/a&gt;</t>
  </si>
  <si>
    <t>&lt;a href="http://a836-acris.nyc.gov/DS/DocumentSearch/DocumentDetail?doc_id=2020020301087001" target="_blank"&gt;Verified by Public Record&lt;/a&gt;</t>
  </si>
  <si>
    <t>&lt;a href="http://a836-acris.nyc.gov/DS/DocumentSearch/DocumentDetail?doc_id=2019123100551001" target="_blank"&gt;Verified by Public Record&lt;/a&gt;</t>
  </si>
  <si>
    <t>&lt;a href="http://a836-acris.nyc.gov/DS/DocumentSearch/DocumentDetail?doc_id=2019060600088001" target="_blank"&gt;Verified by Public Record&lt;/a&gt;</t>
  </si>
  <si>
    <t>&lt;a href="http://a836-acris.nyc.gov/DS/DocumentSearch/DocumentDetail?doc_id=2019070900342001" target="_blank"&gt;Verified by Public Record&lt;/a&gt;</t>
  </si>
  <si>
    <t>&lt;a href="http://a836-acris.nyc.gov/DS/DocumentSearch/DocumentDetail?doc_id=2019090900995001" target="_blank"&gt;Verified by Public Record&lt;/a&gt;</t>
  </si>
  <si>
    <t>&lt;a href="http://a836-acris.nyc.gov/DS/DocumentSearch/DocumentDetail?doc_id=2019123100389001" target="_blank"&gt;Verified by Public Record&lt;/a&gt;</t>
  </si>
  <si>
    <t>&lt;a href="http://a836-acris.nyc.gov/DS/DocumentSearch/DocumentDetail?doc_id=2020011400509001" target="_blank"&gt;Verified by Public Record&lt;/a&gt;</t>
  </si>
  <si>
    <t>&lt;a href="http://a836-acris.nyc.gov/DS/DocumentSearch/DocumentDetail?doc_id=2020112500998001" target="_blank"&gt;Verified by Public Record&lt;/a&gt;</t>
  </si>
  <si>
    <t>&lt;a href="http://a836-acris.nyc.gov/DS/DocumentSearch/DocumentDetail?doc_id=2019123001320001" target="_blank"&gt;Public Record Only&lt;/a&gt;</t>
  </si>
  <si>
    <t>&lt;a href="http://a836-acris.nyc.gov/DS/DocumentSearch/DocumentDetail?doc_id=2019123100584001" target="_blank"&gt;Public Record Only&lt;/a&gt;</t>
  </si>
  <si>
    <t>&lt;a href="http://a836-acris.nyc.gov/DS/DocumentSearch/DocumentDetail?doc_id=2020121600145001" target="_blank"&gt;Public Record Only&lt;/a&gt;</t>
  </si>
  <si>
    <t>&lt;a href="http://a836-acris.nyc.gov/DS/DocumentSearch/DocumentDetail?doc_id=2021072900322001" target="_blank"&gt;Verified by Public Record&lt;/a&gt;</t>
  </si>
  <si>
    <t>&lt;a href="http://a836-acris.nyc.gov/DS/DocumentSearch/DocumentDetail?doc_id=2019123100339001" target="_blank"&gt;Verified by Public Record&lt;/a&gt;</t>
  </si>
  <si>
    <t>&lt;a href="http://a836-acris.nyc.gov/DS/DocumentSearch/DocumentDetail?doc_id=2020010300707001" target="_blank"&gt;Verified by Public Record&lt;/a&gt;</t>
  </si>
  <si>
    <t>&lt;a href="http://a836-acris.nyc.gov/DS/DocumentSearch/DocumentDetail?doc_id=2020010300728001" target="_blank"&gt;Verified by Public Record&lt;/a&gt;</t>
  </si>
  <si>
    <t>&lt;a href="http://a836-acris.nyc.gov/DS/DocumentSearch/DocumentDetail?doc_id=2019071201223003" target="_blank"&gt;Verified by Public Record&lt;/a&gt;</t>
  </si>
  <si>
    <t>&lt;a href="http://a836-acris.nyc.gov/DS/DocumentSearch/DocumentDetail?doc_id=2019070500059001" target="_blank"&gt;Verified by Public Record&lt;/a&gt;</t>
  </si>
  <si>
    <t>&lt;a href="http://a836-acris.nyc.gov/DS/DocumentSearch/DocumentDetail?doc_id=2019062601143003" target="_blank"&gt;Verified by Public Record&lt;/a&gt;</t>
  </si>
  <si>
    <t>&lt;a href="http://a836-acris.nyc.gov/DS/DocumentSearch/DocumentDetail?doc_id=2019123001258001" target="_blank"&gt;Verified by Public Record&lt;/a&gt;</t>
  </si>
  <si>
    <t>&lt;a href="http://a836-acris.nyc.gov/DS/DocumentSearch/DocumentDetail?doc_id=2019082200679001" target="_blank"&gt;Verified by Public Record&lt;/a&gt;</t>
  </si>
  <si>
    <t>&lt;a href="http://a836-acris.nyc.gov/DS/DocumentSearch/DocumentDetail?doc_id=2021010800493002" target="_blank"&gt;Verified by Public Record&lt;/a&gt;</t>
  </si>
  <si>
    <t>&lt;a href="http://a836-acris.nyc.gov/DS/DocumentSearch/DocumentDetail?doc_id=2019060600812001" target="_blank"&gt;Verified by Public Record&lt;/a&gt;</t>
  </si>
  <si>
    <t>&lt;a href="http://a836-acris.nyc.gov/DS/DocumentSearch/DocumentDetail?doc_id=2019060301103001" target="_blank"&gt;Verified by Public Record&lt;/a&gt;</t>
  </si>
  <si>
    <t>&lt;a href="http://a836-acris.nyc.gov/DS/DocumentSearch/DocumentDetail?doc_id=2021033001142001" target="_blank"&gt;Verified by Public Record&lt;/a&gt;</t>
  </si>
  <si>
    <t>&lt;a href="http://a836-acris.nyc.gov/DS/DocumentSearch/DocumentDetail?doc_id=2019062500695001" target="_blank"&gt;Verified by Public Record&lt;/a&gt;</t>
  </si>
  <si>
    <t>&lt;a href="http://a836-acris.nyc.gov/DS/DocumentSearch/DocumentDetail?doc_id=2019110401047001" target="_blank"&gt;Verified by Public Record&lt;/a&gt;</t>
  </si>
  <si>
    <t>&lt;a href="http://a836-acris.nyc.gov/DS/DocumentSearch/DocumentDetail?doc_id=2020081701058001" target="_blank"&gt;Verified by Public Record&lt;/a&gt;</t>
  </si>
  <si>
    <t>&lt;a href="http://a836-acris.nyc.gov/DS/DocumentSearch/DocumentDetail?doc_id=2020072100576001" target="_blank"&gt;Public Record Only&lt;/a&gt;</t>
  </si>
  <si>
    <t>&lt;a href="http://a836-acris.nyc.gov/DS/DocumentSearch/DocumentDetail?doc_id=2019061200758001" target="_blank"&gt;Verified by Public Record&lt;/a&gt;</t>
  </si>
  <si>
    <t>&lt;a href="http://a836-acris.nyc.gov/DS/DocumentSearch/DocumentDetail?doc_id=2020011501450001" target="_blank"&gt;Public Record Only&lt;/a&gt;</t>
  </si>
  <si>
    <t>&lt;a href="http://a836-acris.nyc.gov/DS/DocumentSearch/DocumentDetail?doc_id=2021062501060001" target="_blank"&gt;Public Record Only&lt;/a&gt;</t>
  </si>
  <si>
    <t>&lt;a href="http://a836-acris.nyc.gov/DS/DocumentSearch/DocumentDetail?doc_id=2021062500855001" target="_blank"&gt;Public Record Only&lt;/a&gt;</t>
  </si>
  <si>
    <t>&lt;a href="http://a836-acris.nyc.gov/DS/DocumentSearch/DocumentDetail?doc_id=2021031601159001" target="_blank"&gt;Verified by Public Record&lt;/a&gt;</t>
  </si>
  <si>
    <t>Private Terrace
Private Wrap Around Terrace
Common Roof Deck
Common Outdoor Space</t>
  </si>
  <si>
    <t>&lt;a href="http://a836-acris.nyc.gov/DS/DocumentSearch/DocumentDetail?doc_id=2020020701143001" target="_blank"&gt;Verified by Public Record&lt;/a&gt;</t>
  </si>
  <si>
    <t>&lt;a href="http://a836-acris.nyc.gov/DS/DocumentSearch/DocumentDetail?doc_id=2019101101129001" target="_blank"&gt;Verified by Public Record&lt;/a&gt;</t>
  </si>
  <si>
    <t>&lt;a href="http://a836-acris.nyc.gov/DS/DocumentSearch/DocumentDetail?doc_id=2019053000975001" target="_blank"&gt;Verified by Public Record&lt;/a&gt;</t>
  </si>
  <si>
    <t>&lt;a href="http://a836-acris.nyc.gov/DS/DocumentSearch/DocumentDetail?doc_id=2019090900811001" target="_blank"&gt;Verified by Public Record&lt;/a&gt;</t>
  </si>
  <si>
    <t>&lt;a href="http://a836-acris.nyc.gov/DS/DocumentSearch/DocumentDetail?doc_id=2020051100414003" target="_blank"&gt;Verified by Public Record&lt;/a&gt;</t>
  </si>
  <si>
    <t>&lt;a href="http://a836-acris.nyc.gov/DS/DocumentSearch/DocumentDetail?doc_id=2021062500815001" target="_blank"&gt;Verified by Public Record&lt;/a&gt;</t>
  </si>
  <si>
    <t>&lt;a href="http://a836-acris.nyc.gov/DS/DocumentSearch/DocumentDetail?doc_id=2021062501003001" target="_blank"&gt;Verified by Public Record&lt;/a&gt;</t>
  </si>
  <si>
    <t>&lt;a href="http://a836-acris.nyc.gov/DS/DocumentSearch/DocumentDetail?doc_id=2019080800950001" target="_blank"&gt;Verified by Public Record&lt;/a&gt;</t>
  </si>
  <si>
    <t>&lt;a href="http://a836-acris.nyc.gov/DS/DocumentSearch/DocumentDetail?doc_id=2015060801703001" target="_blank"&gt;Verified by Public Record&lt;/a&gt;</t>
  </si>
  <si>
    <t>&lt;a href="http://a836-acris.nyc.gov/DS/DocumentSearch/DocumentDetail?doc_id=2015052101316001" target="_blank"&gt;Verified by Public Record&lt;/a&gt;</t>
  </si>
  <si>
    <t>&lt;a href="http://a836-acris.nyc.gov/DS/DocumentSearch/DocumentDetail?doc_id=2015102300511001" target="_blank"&gt;Verified by Public Record&lt;/a&gt;</t>
  </si>
  <si>
    <t>&lt;a href="http://a836-acris.nyc.gov/DS/DocumentSearch/DocumentDetail?doc_id=2014103100310001" target="_blank"&gt;Public Record Only&lt;/a&gt;</t>
  </si>
  <si>
    <t>&lt;a href="http://a836-acris.nyc.gov/DS/DocumentSearch/DocumentDetail?doc_id=2014081401675001" target="_blank"&gt;Public Record Only&lt;/a&gt;</t>
  </si>
  <si>
    <t>&lt;a href="http://a836-acris.nyc.gov/DS/DocumentSearch/DocumentDetail?doc_id=2015010800795001" target="_blank"&gt;Public Record Only&lt;/a&gt;</t>
  </si>
  <si>
    <t>&lt;a href="http://a836-acris.nyc.gov/DS/DocumentSearch/DocumentDetail?doc_id=2014090800743001" target="_blank"&gt;Public Record Only&lt;/a&gt;</t>
  </si>
  <si>
    <t>&lt;a href="http://a836-acris.nyc.gov/DS/DocumentSearch/DocumentDetail?doc_id=2014111200815001" target="_blank"&gt;Public Record Only&lt;/a&gt;</t>
  </si>
  <si>
    <t>&lt;a href="http://a836-acris.nyc.gov/DS/DocumentSearch/DocumentDetail?doc_id=2021022601182001" target="_blank"&gt;Public Record Only&lt;/a&gt;</t>
  </si>
  <si>
    <t>&lt;a href="http://a836-acris.nyc.gov/DS/DocumentSearch/DocumentDetail?doc_id=2015042100683002" target="_blank"&gt;Verified by Public Record&lt;/a&gt;</t>
  </si>
  <si>
    <t>&lt;a href="http://a836-acris.nyc.gov/DS/DocumentSearch/DocumentDetail?doc_id=2015031700819001" target="_blank"&gt;Verified by Public Record&lt;/a&gt;</t>
  </si>
  <si>
    <t>&lt;a href="http://a836-acris.nyc.gov/DS/DocumentSearch/DocumentDetail?doc_id=2014100300647001" target="_blank"&gt;Verified by Public Record&lt;/a&gt;</t>
  </si>
  <si>
    <t>&lt;a href="http://a836-acris.nyc.gov/DS/DocumentSearch/DocumentDetail?doc_id=2014090400280001" target="_blank"&gt;Verified by Public Record&lt;/a&gt;</t>
  </si>
  <si>
    <t>&lt;a href="http://a836-acris.nyc.gov/DS/DocumentSearch/DocumentDetail?doc_id=2014101401005001" target="_blank"&gt;Verified by Public Record&lt;/a&gt;</t>
  </si>
  <si>
    <t>&lt;a href="http://a836-acris.nyc.gov/DS/DocumentSearch/DocumentDetail?doc_id=2014091000710004" target="_blank"&gt;Verified by Public Record&lt;/a&gt;</t>
  </si>
  <si>
    <t>&lt;a href="http://a836-acris.nyc.gov/DS/DocumentSearch/DocumentDetail?doc_id=2014120100278001" target="_blank"&gt;Verified by Public Record&lt;/a&gt;</t>
  </si>
  <si>
    <t>&lt;a href="http://a836-acris.nyc.gov/DS/DocumentSearch/DocumentDetail?doc_id=2014093000158001" target="_blank"&gt;Verified by Public Record&lt;/a&gt;</t>
  </si>
  <si>
    <t>&lt;a href="http://a836-acris.nyc.gov/DS/DocumentSearch/DocumentDetail?doc_id=2015011400535001" target="_blank"&gt;Verified by Public Record&lt;/a&gt;</t>
  </si>
  <si>
    <t>&lt;a href="http://a836-acris.nyc.gov/DS/DocumentSearch/DocumentDetail?doc_id=2014091200630001" target="_blank"&gt;Verified by Public Record&lt;/a&gt;</t>
  </si>
  <si>
    <t>&lt;a href="http://a836-acris.nyc.gov/DS/DocumentSearch/DocumentDetail?doc_id=2014121200589001" target="_blank"&gt;Verified by Public Record&lt;/a&gt;</t>
  </si>
  <si>
    <t>&lt;a href="http://a836-acris.nyc.gov/DS/DocumentSearch/DocumentDetail?doc_id=2021040900084002" target="_blank"&gt;Verified by Public Record&lt;/a&gt;</t>
  </si>
  <si>
    <t>&lt;a href="http://a836-acris.nyc.gov/DS/DocumentSearch/DocumentDetail?doc_id=2021040300062002" target="_blank"&gt;Verified by Public Record&lt;/a&gt;</t>
  </si>
  <si>
    <t>&lt;a href="http://a836-acris.nyc.gov/DS/DocumentSearch/DocumentDetail?doc_id=2019050200665005" target="_blank"&gt;Verified by Public Record&lt;/a&gt;</t>
  </si>
  <si>
    <t>&lt;a href="http://a836-acris.nyc.gov/DS/DocumentSearch/DocumentDetail?doc_id=2018011900486001" target="_blank"&gt;Verified by Public Record&lt;/a&gt;</t>
  </si>
  <si>
    <t>&lt;a href="http://a836-acris.nyc.gov/DS/DocumentSearch/DocumentDetail?doc_id=2021031900876001" target="_blank"&gt;Public Record Only&lt;/a&gt;</t>
  </si>
  <si>
    <t>&lt;a href="http://a836-acris.nyc.gov/DS/DocumentSearch/DocumentDetail?doc_id=2020051400678001" target="_blank"&gt;Public Record Only&lt;/a&gt;</t>
  </si>
  <si>
    <t>&lt;a href="http://a836-acris.nyc.gov/DS/DocumentSearch/DocumentDetail?doc_id=2019051300170003" target="_blank"&gt;Public Record Only&lt;/a&gt;</t>
  </si>
  <si>
    <t>&lt;a href="http://a836-acris.nyc.gov/DS/DocumentSearch/DocumentDetail?doc_id=2017100301116003" target="_blank"&gt;Verified by Public Record&lt;/a&gt;</t>
  </si>
  <si>
    <t>&lt;a href="http://a836-acris.nyc.gov/DS/DocumentSearch/DocumentDetail?doc_id=2020060900897003" target="_blank"&gt;Public Record Only&lt;/a&gt;</t>
  </si>
  <si>
    <t>Private Roof Deck
Roof Deck
Common Roof Deck
Common Outdoor Space</t>
  </si>
  <si>
    <t>Doorman, Part-Time Doorman, Remote Doorman</t>
  </si>
  <si>
    <t>&lt;a href="http://a836-acris.nyc.gov/DS/DocumentSearch/DocumentDetail?doc_id=2021073000851002" target="_blank"&gt;Verified by Public Record&lt;/a&gt;</t>
  </si>
  <si>
    <t>&lt;a href="http://a836-acris.nyc.gov/DS/DocumentSearch/DocumentDetail?doc_id=2020112400530002" target="_blank"&gt;Public Record Only&lt;/a&gt;</t>
  </si>
  <si>
    <t>&lt;a href="http://a836-acris.nyc.gov/DS/DocumentSearch/DocumentDetail?doc_id=2020082600804001" target="_blank"&gt;Public Record Only&lt;/a&gt;</t>
  </si>
  <si>
    <t>&lt;a href="http://a836-acris.nyc.gov/DS/DocumentSearch/DocumentDetail?doc_id=2020072900383006" target="_blank"&gt;Public Record Only&lt;/a&gt;</t>
  </si>
  <si>
    <t>&lt;a href="http://a836-acris.nyc.gov/DS/DocumentSearch/DocumentDetail?doc_id=2020111700409001" target="_blank"&gt;Public Record Only&lt;/a&gt;</t>
  </si>
  <si>
    <t>&lt;a href="http://a836-acris.nyc.gov/DS/DocumentSearch/DocumentDetail?doc_id=2020073000333006" target="_blank"&gt;Public Record Only&lt;/a&gt;</t>
  </si>
  <si>
    <t>&lt;a href="http://a836-acris.nyc.gov/DS/DocumentSearch/DocumentDetail?doc_id=2020030600108002" target="_blank"&gt;Verified by Public Record&lt;/a&gt;</t>
  </si>
  <si>
    <t>&lt;a href="http://a836-acris.nyc.gov/DS/DocumentSearch/DocumentDetail?doc_id=2020010200921003" target="_blank"&gt;Verified by Public Record&lt;/a&gt;</t>
  </si>
  <si>
    <t>&lt;a href="http://a836-acris.nyc.gov/DS/DocumentSearch/DocumentDetail?doc_id=2019042300358001" target="_blank"&gt;Verified by Public Record&lt;/a&gt;</t>
  </si>
  <si>
    <t>&lt;a href="http://a836-acris.nyc.gov/DS/DocumentSearch/DocumentDetail?doc_id=2021031200725001" target="_blank"&gt;Verified by Public Record&lt;/a&gt;</t>
  </si>
  <si>
    <t>&lt;a href="http://a836-acris.nyc.gov/DS/DocumentSearch/DocumentDetail?doc_id=2021070100217002" target="_blank"&gt;Public Record Only&lt;/a&gt;</t>
  </si>
  <si>
    <t>&lt;a href="http://a836-acris.nyc.gov/DS/DocumentSearch/DocumentDetail?doc_id=2021021700749002" target="_blank"&gt;Public Record Only&lt;/a&gt;</t>
  </si>
  <si>
    <t>&lt;a href="http://a836-acris.nyc.gov/DS/DocumentSearch/DocumentDetail?doc_id=2020081000868006" target="_blank"&gt;Public Record Only&lt;/a&gt;</t>
  </si>
  <si>
    <t>&lt;a href="http://a836-acris.nyc.gov/DS/DocumentSearch/DocumentDetail?doc_id=2020072701039009" target="_blank"&gt;Public Record Only&lt;/a&gt;</t>
  </si>
  <si>
    <t>&lt;a href="http://a836-acris.nyc.gov/DS/DocumentSearch/DocumentDetail?doc_id=2021010600715001" target="_blank"&gt;Public Record Only&lt;/a&gt;</t>
  </si>
  <si>
    <t>&lt;a href="http://a836-acris.nyc.gov/DS/DocumentSearch/DocumentDetail?doc_id=2020091600486001" target="_blank"&gt;Public Record Only&lt;/a&gt;</t>
  </si>
  <si>
    <t>&lt;a href="http://a836-acris.nyc.gov/DS/DocumentSearch/DocumentDetail?doc_id=2020081900768002" target="_blank"&gt;Verified by Public Record&lt;/a&gt;</t>
  </si>
  <si>
    <t>&lt;a href="http://a836-acris.nyc.gov/DS/DocumentSearch/DocumentDetail?doc_id=2020080500558001" target="_blank"&gt;Public Record Only&lt;/a&gt;</t>
  </si>
  <si>
    <t>&lt;a href="http://a836-acris.nyc.gov/DS/DocumentSearch/DocumentDetail?doc_id=2020081300234006" target="_blank"&gt;Public Record Only&lt;/a&gt;</t>
  </si>
  <si>
    <t>&lt;a href="http://a836-acris.nyc.gov/DS/DocumentSearch/DocumentDetail?doc_id=2020091500456001" target="_blank"&gt;Public Record Only&lt;/a&gt;</t>
  </si>
  <si>
    <t>&lt;a href="http://a836-acris.nyc.gov/DS/DocumentSearch/DocumentDetail?doc_id=2020081201115001" target="_blank"&gt;Public Record Only&lt;/a&gt;</t>
  </si>
  <si>
    <t>&lt;a href="http://a836-acris.nyc.gov/DS/DocumentSearch/DocumentDetail?doc_id=2020080700851002" target="_blank"&gt;Public Record Only&lt;/a&gt;</t>
  </si>
  <si>
    <t>&lt;a href="http://a836-acris.nyc.gov/DS/DocumentSearch/DocumentDetail?doc_id=2019061900527001" target="_blank"&gt;Verified by Public Record&lt;/a&gt;</t>
  </si>
  <si>
    <t>&lt;a href="http://a836-acris.nyc.gov/DS/DocumentSearch/DocumentDetail?doc_id=2019041600511001" target="_blank"&gt;Verified by Public Record&lt;/a&gt;</t>
  </si>
  <si>
    <t>&lt;a href="http://a836-acris.nyc.gov/DS/DocumentSearch/DocumentDetail?doc_id=2021042700717001" target="_blank"&gt;Public Record Only&lt;/a&gt;</t>
  </si>
  <si>
    <t>&lt;a href="http://a836-acris.nyc.gov/DS/DocumentSearch/DocumentDetail?doc_id=2021060100313001" target="_blank"&gt;Public Record Only&lt;/a&gt;</t>
  </si>
  <si>
    <t>&lt;a href="http://a836-acris.nyc.gov/DS/DocumentSearch/DocumentDetail?doc_id=2018071701181001" target="_blank"&gt;Verified by Public Record&lt;/a&gt;</t>
  </si>
  <si>
    <t>&lt;a href="http://a836-acris.nyc.gov/DS/DocumentSearch/DocumentDetail?doc_id=2018071800320001" target="_blank"&gt;Verified by Public Record&lt;/a&gt;</t>
  </si>
  <si>
    <t>&lt;a href="http://a836-acris.nyc.gov/DS/DocumentSearch/DocumentDetail?doc_id=2020042000754001" target="_blank"&gt;Verified by Public Record&lt;/a&gt;</t>
  </si>
  <si>
    <t>&lt;a href="http://a836-acris.nyc.gov/DS/DocumentSearch/DocumentDetail?doc_id=2019042901085005" target="_blank"&gt;Verified by Public Record&lt;/a&gt;</t>
  </si>
  <si>
    <t>&lt;a href="http://a836-acris.nyc.gov/DS/DocumentSearch/DocumentDetail?doc_id=2019052200923001" target="_blank"&gt;Verified by Public Record&lt;/a&gt;</t>
  </si>
  <si>
    <t>Deck
Roof Deck
Common Roof Deck
Barbecue Area</t>
  </si>
  <si>
    <t>&lt;a href="http://a836-acris.nyc.gov/DS/DocumentSearch/DocumentDetail?doc_id=2019061300703002" target="_blank"&gt;Verified by Public Record&lt;/a&gt;</t>
  </si>
  <si>
    <t>Deck
Roof Deck
Common Roof Deck
Barbecue Area
Private Outdoor Space</t>
  </si>
  <si>
    <t>&lt;a href="http://a836-acris.nyc.gov/DS/DocumentSearch/DocumentDetail?doc_id=2018081400601001" target="_blank"&gt;Verified by Public Record&lt;/a&gt;</t>
  </si>
  <si>
    <t>&lt;a href="http://a836-acris.nyc.gov/DS/DocumentSearch/DocumentDetail?doc_id=2020122900322001" target="_blank"&gt;Public Record Only&lt;/a&gt;</t>
  </si>
  <si>
    <t>&lt;a href="http://a836-acris.nyc.gov/DS/DocumentSearch/DocumentDetail?doc_id=2020091601086001" target="_blank"&gt;Public Record Only&lt;/a&gt;</t>
  </si>
  <si>
    <t>&lt;a href="http://a836-acris.nyc.gov/DS/DocumentSearch/DocumentDetail?doc_id=2020120700311003" target="_blank"&gt;Public Record Only&lt;/a&gt;</t>
  </si>
  <si>
    <t>&lt;a href="http://a836-acris.nyc.gov/DS/DocumentSearch/DocumentDetail?doc_id=2019061901022001" target="_blank"&gt;Verified by Public Record&lt;/a&gt;</t>
  </si>
  <si>
    <t>&lt;a href="http://a836-acris.nyc.gov/DS/DocumentSearch/DocumentDetail?doc_id=2019050900447006" target="_blank"&gt;Verified by Public Record&lt;/a&gt;</t>
  </si>
  <si>
    <t>&lt;a href="http://a836-acris.nyc.gov/DS/DocumentSearch/DocumentDetail?doc_id=2018091200124001" target="_blank"&gt;Verified by Public Record&lt;/a&gt;</t>
  </si>
  <si>
    <t>&lt;a href="http://a836-acris.nyc.gov/DS/DocumentSearch/DocumentDetail?doc_id=2019062700063001" target="_blank"&gt;Verified by Public Record&lt;/a&gt;</t>
  </si>
  <si>
    <t>Deck
Roof Deck
Common Roof Deck
Barbecue Area
Common Outdoor Space</t>
  </si>
  <si>
    <t>&lt;a href="http://a836-acris.nyc.gov/DS/DocumentSearch/DocumentDetail?doc_id=2019070700053001" target="_blank"&gt;Verified by Public Record&lt;/a&gt;</t>
  </si>
  <si>
    <t>&lt;a href="http://a836-acris.nyc.gov/DS/DocumentSearch/DocumentDetail?doc_id=2019050100291001" target="_blank"&gt;Verified by Public Record&lt;/a&gt;</t>
  </si>
  <si>
    <t>&lt;a href="http://a836-acris.nyc.gov/DS/DocumentSearch/DocumentDetail?doc_id=2019040200516001" target="_blank"&gt;Verified by Public Record&lt;/a&gt;</t>
  </si>
  <si>
    <t>&lt;a href="http://a836-acris.nyc.gov/DS/DocumentSearch/DocumentDetail?doc_id=2018072300989001" target="_blank"&gt;Verified by Public Record&lt;/a&gt;</t>
  </si>
  <si>
    <t>&lt;a href="http://a836-acris.nyc.gov/DS/DocumentSearch/DocumentDetail?doc_id=2019032801155001" target="_blank"&gt;Verified by Public Record&lt;/a&gt;</t>
  </si>
  <si>
    <t>&lt;a href="http://a836-acris.nyc.gov/DS/DocumentSearch/DocumentDetail?doc_id=2019041500763001" target="_blank"&gt;Verified by Public Record&lt;/a&gt;</t>
  </si>
  <si>
    <t>/Single Family</t>
  </si>
  <si>
    <t>Townhouse/Condo/Single Family</t>
  </si>
  <si>
    <t>&lt;a href="http://a836-acris.nyc.gov/DS/DocumentSearch/DocumentDetail?doc_id=2018080300230002" target="_blank"&gt;Verified by Public Record&lt;/a&gt;</t>
  </si>
  <si>
    <t>151' x 175'</t>
  </si>
  <si>
    <t>&lt;a href="http://a836-acris.nyc.gov/DS/DocumentSearch/DocumentDetail?doc_id=2019061000780001" target="_blank"&gt;Verified by Public Record&lt;/a&gt;</t>
  </si>
  <si>
    <t>&lt;a href="http://a836-acris.nyc.gov/DS/DocumentSearch/DocumentDetail?doc_id=2019061900471001" target="_blank"&gt;Verified by Public Record&lt;/a&gt;</t>
  </si>
  <si>
    <t>&lt;a href="http://a836-acris.nyc.gov/DS/DocumentSearch/DocumentDetail?doc_id=2018072300894001" target="_blank"&gt;Verified by Public Record&lt;/a&gt;</t>
  </si>
  <si>
    <t>&lt;a href="http://a836-acris.nyc.gov/DS/DocumentSearch/DocumentDetail?doc_id=2018091701014001" target="_blank"&gt;Verified by Public Record&lt;/a&gt;</t>
  </si>
  <si>
    <t>&lt;a href="http://a836-acris.nyc.gov/DS/DocumentSearch/DocumentDetail?doc_id=2019022100798001" target="_blank"&gt;Verified by Public Record&lt;/a&gt;</t>
  </si>
  <si>
    <t>&lt;a href="http://a836-acris.nyc.gov/DS/DocumentSearch/DocumentDetail?doc_id=2018080700851001" target="_blank"&gt;Verified by Public Record&lt;/a&gt;</t>
  </si>
  <si>
    <t>&lt;a href="http://a836-acris.nyc.gov/DS/DocumentSearch/DocumentDetail?doc_id=2018091200597001" target="_blank"&gt;Verified by Public Record&lt;/a&gt;</t>
  </si>
  <si>
    <t>&lt;a href="http://a836-acris.nyc.gov/DS/DocumentSearch/DocumentDetail?doc_id=2018072700106001" target="_blank"&gt;Verified by Public Record&lt;/a&gt;</t>
  </si>
  <si>
    <t>&lt;a href="http://a836-acris.nyc.gov/DS/DocumentSearch/DocumentDetail?doc_id=2018072300158001" target="_blank"&gt;Verified by Public Record&lt;/a&gt;</t>
  </si>
  <si>
    <t>&lt;a href="http://a836-acris.nyc.gov/DS/DocumentSearch/DocumentDetail?doc_id=2019062002101001" target="_blank"&gt;Verified by Public Record&lt;/a&gt;</t>
  </si>
  <si>
    <t>&lt;a href="http://a836-acris.nyc.gov/DS/DocumentSearch/DocumentDetail?doc_id=2019050300989001" target="_blank"&gt;Verified by Public Record&lt;/a&gt;</t>
  </si>
  <si>
    <t>&lt;a href="http://a836-acris.nyc.gov/DS/DocumentSearch/DocumentDetail?doc_id=2019032801316001" target="_blank"&gt;Verified by Public Record&lt;/a&gt;</t>
  </si>
  <si>
    <t>&lt;a href="http://a836-acris.nyc.gov/DS/DocumentSearch/DocumentDetail?doc_id=2019042200370001" target="_blank"&gt;Verified by Public Record&lt;/a&gt;</t>
  </si>
  <si>
    <t>&lt;a href="http://a836-acris.nyc.gov/DS/DocumentSearch/DocumentDetail?doc_id=2019061900066001" target="_blank"&gt;Verified by Public Record&lt;/a&gt;</t>
  </si>
  <si>
    <t>&lt;a href="http://a836-acris.nyc.gov/DS/DocumentSearch/DocumentDetail?doc_id=2019062400184001" target="_blank"&gt;Verified by Public Record&lt;/a&gt;</t>
  </si>
  <si>
    <t>&lt;a href="http://a836-acris.nyc.gov/DS/DocumentSearch/DocumentDetail?doc_id=2019032700319001" target="_blank"&gt;Verified by Public Record&lt;/a&gt;</t>
  </si>
  <si>
    <t>&lt;a href="http://a836-acris.nyc.gov/DS/DocumentSearch/DocumentDetail?doc_id=2018062800589001" target="_blank"&gt;Verified by Public Record&lt;/a&gt;</t>
  </si>
  <si>
    <t>&lt;a href="http://a836-acris.nyc.gov/DS/DocumentSearch/DocumentDetail?doc_id=2019070800362003" target="_blank"&gt;Verified by Public Record&lt;/a&gt;</t>
  </si>
  <si>
    <t>&lt;a href="http://a836-acris.nyc.gov/DS/DocumentSearch/DocumentDetail?doc_id=2019062100313001" target="_blank"&gt;Verified by Public Record&lt;/a&gt;</t>
  </si>
  <si>
    <t>&lt;a href="http://a836-acris.nyc.gov/DS/DocumentSearch/DocumentDetail?doc_id=2019061900477001" target="_blank"&gt;Verified by Public Record&lt;/a&gt;</t>
  </si>
  <si>
    <t>&lt;a href="http://a836-acris.nyc.gov/DS/DocumentSearch/DocumentDetail?doc_id=2019062801013002" target="_blank"&gt;Verified by Public Record&lt;/a&gt;</t>
  </si>
  <si>
    <t>Deck
Roof Deck
Common Roof Deck
Barbecue Area
Common Outdoor Space
Private Outdoor Space</t>
  </si>
  <si>
    <t>&lt;a href="http://a836-acris.nyc.gov/DS/DocumentSearch/DocumentDetail?doc_id=2019050800601001" target="_blank"&gt;Verified by Public Record&lt;/a&gt;</t>
  </si>
  <si>
    <t>Private Terrace
Deck
Roof Deck
Common Roof Deck
Barbecue Area
Common Outdoor Space</t>
  </si>
  <si>
    <t>&lt;a href="http://a836-acris.nyc.gov/DS/DocumentSearch/DocumentDetail?doc_id=2019051600914001" target="_blank"&gt;Verified by Public Record&lt;/a&gt;</t>
  </si>
  <si>
    <t>&lt;a href="http://a836-acris.nyc.gov/DS/DocumentSearch/DocumentDetail?doc_id=2018072001139001" target="_blank"&gt;Verified by Public Record&lt;/a&gt;</t>
  </si>
  <si>
    <t>&lt;a href="http://a836-acris.nyc.gov/DS/DocumentSearch/DocumentDetail?doc_id=2019051500575006" target="_blank"&gt;Verified by Public Record&lt;/a&gt;</t>
  </si>
  <si>
    <t>&lt;a href="http://a836-acris.nyc.gov/DS/DocumentSearch/DocumentDetail?doc_id=2019041001108001" target="_blank"&gt;Verified by Public Record&lt;/a&gt;</t>
  </si>
  <si>
    <t>&lt;a href="http://a836-acris.nyc.gov/DS/DocumentSearch/DocumentDetail?doc_id=2020082600726003" target="_blank"&gt;Verified by Public Record&lt;/a&gt;</t>
  </si>
  <si>
    <t>&lt;a href="http://a836-acris.nyc.gov/DS/DocumentSearch/DocumentDetail?doc_id=2020121600624002" target="_blank"&gt;Verified by Public Record&lt;/a&gt;</t>
  </si>
  <si>
    <t>&lt;a href="http://a836-acris.nyc.gov/DS/DocumentSearch/DocumentDetail?doc_id=2020110500423002" target="_blank"&gt;Verified by Public Record&lt;/a&gt;</t>
  </si>
  <si>
    <t>&lt;a href="http://a836-acris.nyc.gov/DS/DocumentSearch/DocumentDetail?doc_id=2020072300997003" target="_blank"&gt;Unverified&lt;/a&gt;</t>
  </si>
  <si>
    <t>&lt;a href="http://a836-acris.nyc.gov/DS/DocumentSearch/DocumentDetail?doc_id=2018072601329001" target="_blank"&gt;Verified by Public Record&lt;/a&gt;</t>
  </si>
  <si>
    <t>&lt;a href="http://a836-acris.nyc.gov/DS/DocumentSearch/DocumentDetail?doc_id=2018072600735001" target="_blank"&gt;Verified by Public Record&lt;/a&gt;</t>
  </si>
  <si>
    <t>&lt;a href="http://a836-acris.nyc.gov/DS/DocumentSearch/DocumentDetail?doc_id=2021042000726003" target="_blank"&gt;Verified by Public Record&lt;/a&gt;</t>
  </si>
  <si>
    <t>&lt;a href="http://a836-acris.nyc.gov/DS/DocumentSearch/DocumentDetail?doc_id=2019052300094001" target="_blank"&gt;Verified by Public Record&lt;/a&gt;</t>
  </si>
  <si>
    <t>&lt;a href="http://a836-acris.nyc.gov/DS/DocumentSearch/DocumentDetail?doc_id=2018080100524001" target="_blank"&gt;Verified by Public Record&lt;/a&gt;</t>
  </si>
  <si>
    <t>&lt;a href="http://a836-acris.nyc.gov/DS/DocumentSearch/DocumentDetail?doc_id=2019081301021001" target="_blank"&gt;Verified by Public Record&lt;/a&gt;</t>
  </si>
  <si>
    <t>&lt;a href="http://a836-acris.nyc.gov/DS/DocumentSearch/DocumentDetail?doc_id=2018072300078001" target="_blank"&gt;Verified by Public Record&lt;/a&gt;</t>
  </si>
  <si>
    <t>&lt;a href="http://a836-acris.nyc.gov/DS/DocumentSearch/DocumentDetail?doc_id=2020072000479001" target="_blank"&gt;Verified by Public Record&lt;/a&gt;</t>
  </si>
  <si>
    <t>&lt;a href="http://a836-acris.nyc.gov/DS/DocumentSearch/DocumentDetail?doc_id=2018080601043001" target="_blank"&gt;Verified by Public Record&lt;/a&gt;</t>
  </si>
  <si>
    <t>&lt;a href="http://a836-acris.nyc.gov/DS/DocumentSearch/DocumentDetail?doc_id=2018080700220001" target="_blank"&gt;Verified by Public Record&lt;/a&gt;</t>
  </si>
  <si>
    <t>&lt;a href="http://a836-acris.nyc.gov/DS/DocumentSearch/DocumentDetail?doc_id=2018080600420001" target="_blank"&gt;Verified by Public Record&lt;/a&gt;</t>
  </si>
  <si>
    <t>&lt;a href="http://a836-acris.nyc.gov/DS/DocumentSearch/DocumentDetail?doc_id=2019040200149001" target="_blank"&gt;Verified by Public Record&lt;/a&gt;</t>
  </si>
  <si>
    <t>&lt;a href="http://a836-acris.nyc.gov/DS/DocumentSearch/DocumentDetail?doc_id=2018080200446001" target="_blank"&gt;Verified by Public Record&lt;/a&gt;</t>
  </si>
  <si>
    <t>&lt;a href="http://a836-acris.nyc.gov/DS/DocumentSearch/DocumentDetail?doc_id=2018071700139001" target="_blank"&gt;Verified by Public Record&lt;/a&gt;</t>
  </si>
  <si>
    <t>&lt;a href="http://a836-acris.nyc.gov/DS/DocumentSearch/DocumentDetail?doc_id=2018081301185001" target="_blank"&gt;Verified by Public Record&lt;/a&gt;</t>
  </si>
  <si>
    <t>&lt;a href="http://a836-acris.nyc.gov/DS/DocumentSearch/DocumentDetail?doc_id=2018080700776001" target="_blank"&gt;Verified by Public Record&lt;/a&gt;</t>
  </si>
  <si>
    <t>&lt;a href="http://a836-acris.nyc.gov/DS/DocumentSearch/DocumentDetail?doc_id=2019062600536001" target="_blank"&gt;Verified by Public Record&lt;/a&gt;</t>
  </si>
  <si>
    <t>&lt;a href="http://a836-acris.nyc.gov/DS/DocumentSearch/DocumentDetail?doc_id=2019032900570001" target="_blank"&gt;Verified by Public Record&lt;/a&gt;</t>
  </si>
  <si>
    <t>&lt;a href="http://a836-acris.nyc.gov/DS/DocumentSearch/DocumentDetail?doc_id=2020080700599009" target="_blank"&gt;Verified by Public Record&lt;/a&gt;</t>
  </si>
  <si>
    <t>Private Terrace
Private Roof Deck
Deck
Roof Deck
Common Roof Deck
Barbecue Area
Common Outdoor Space</t>
  </si>
  <si>
    <t>Juliet Balcony
Common Outdoor Space
Private Outdoor Space</t>
  </si>
  <si>
    <t>&lt;a href="http://a836-acris.nyc.gov/DS/DocumentSearch/DocumentDetail?doc_id=2021020700039002" target="_blank"&gt;Verified by Public Record&lt;/a&gt;</t>
  </si>
  <si>
    <t>&lt;a href="http://a836-acris.nyc.gov/DS/DocumentSearch/DocumentDetail?doc_id=2020100601223001" target="_blank"&gt;Verified by Public Record&lt;/a&gt;</t>
  </si>
  <si>
    <t>&lt;a href="http://a836-acris.nyc.gov/DS/DocumentSearch/DocumentDetail?doc_id=2020090100432002" target="_blank"&gt;Verified by Public Record&lt;/a&gt;</t>
  </si>
  <si>
    <t>&lt;a href="http://a836-acris.nyc.gov/DS/DocumentSearch/DocumentDetail?doc_id=2020100201156003" target="_blank"&gt;Verified by Public Record&lt;/a&gt;</t>
  </si>
  <si>
    <t>&lt;a href="http://a836-acris.nyc.gov/DS/DocumentSearch/DocumentDetail?doc_id=2018072400106001" target="_blank"&gt;Verified by Public Record&lt;/a&gt;</t>
  </si>
  <si>
    <t>&lt;a href="http://a836-acris.nyc.gov/DS/DocumentSearch/DocumentDetail?doc_id=2019062800094001" target="_blank"&gt;Verified by Public Record&lt;/a&gt;</t>
  </si>
  <si>
    <t>&lt;a href="http://a836-acris.nyc.gov/DS/DocumentSearch/DocumentDetail?doc_id=2018101501247001" target="_blank"&gt;Verified by Public Record&lt;/a&gt;</t>
  </si>
  <si>
    <t>&lt;a href="http://a836-acris.nyc.gov/DS/DocumentSearch/DocumentDetail?doc_id=2018081600301003" target="_blank"&gt;Verified by Public Record&lt;/a&gt;</t>
  </si>
  <si>
    <t>Private Terrace
Private Roof Deck
Deck
Roof Deck
Common Roof Deck
Barbecue Area
Common Outdoor Space
Private Outdoor Space</t>
  </si>
  <si>
    <t>Private Terrace
Deck
Roof Deck
Common Roof Deck
Barbecue Area</t>
  </si>
  <si>
    <t>&lt;a href="http://a836-acris.nyc.gov/DS/DocumentSearch/DocumentDetail?doc_id=2018072700722002" target="_blank"&gt;Verified by Public Record&lt;/a&gt;</t>
  </si>
  <si>
    <t>&lt;a href="http://a836-acris.nyc.gov/DS/DocumentSearch/DocumentDetail?doc_id=2020111300368001" target="_blank"&gt;Verified by Public Record&lt;/a&gt;</t>
  </si>
  <si>
    <t>&lt;a href="http://a836-acris.nyc.gov/DS/DocumentSearch/DocumentDetail?doc_id=2020090300995001" target="_blank"&gt;Verified by Public Record&lt;/a&gt;</t>
  </si>
  <si>
    <t>&lt;a href="http://a836-acris.nyc.gov/DS/DocumentSearch/DocumentDetail?doc_id=2019052400046001" target="_blank"&gt;Verified by Public Record&lt;/a&gt;</t>
  </si>
  <si>
    <t>&lt;a href="http://a836-acris.nyc.gov/DS/DocumentSearch/DocumentDetail?doc_id=2018072500471005" target="_blank"&gt;Verified by Public Record&lt;/a&gt;</t>
  </si>
  <si>
    <t>&lt;a href="http://a836-acris.nyc.gov/DS/DocumentSearch/DocumentDetail?doc_id=2019022100144006" target="_blank"&gt;Verified by Public Record&lt;/a&gt;</t>
  </si>
  <si>
    <t>&lt;a href="http://a836-acris.nyc.gov/DS/DocumentSearch/DocumentDetail?doc_id=2021011400969001" target="_blank"&gt;Verified by Public Record&lt;/a&gt;</t>
  </si>
  <si>
    <t>Juliet Balcony
Patio
Common Outdoor Space</t>
  </si>
  <si>
    <t>&lt;a href="http://a836-acris.nyc.gov/DS/DocumentSearch/DocumentDetail?doc_id=2019010300423001" target="_blank"&gt;Verified by Public Record&lt;/a&gt;</t>
  </si>
  <si>
    <t>&lt;a href="http://a836-acris.nyc.gov/DS/DocumentSearch/DocumentDetail?doc_id=2020021400246001" target="_blank"&gt;Verified by Public Record&lt;/a&gt;</t>
  </si>
  <si>
    <t>&lt;a href="http://a836-acris.nyc.gov/DS/DocumentSearch/DocumentDetail?doc_id=2021030500496003" target="_blank"&gt;Verified by Public Record&lt;/a&gt;</t>
  </si>
  <si>
    <t>Private Roof Deck
Roof Deck
Common Roof Deck
Common Outdoor Space
Private Outdoor Space</t>
  </si>
  <si>
    <t>&lt;a href="http://a836-acris.nyc.gov/DS/DocumentSearch/DocumentDetail?doc_id=2018100800141001" target="_blank"&gt;Verified by Public Record&lt;/a&gt;</t>
  </si>
  <si>
    <t>&lt;a href="http://a836-acris.nyc.gov/DS/DocumentSearch/DocumentDetail?doc_id=2021010100061001" target="_blank"&gt;Verified by Public Record&lt;/a&gt;</t>
  </si>
  <si>
    <t>&lt;a href="http://a836-acris.nyc.gov/DS/DocumentSearch/DocumentDetail?doc_id=2021050601310003" target="_blank"&gt;Verified by Public Record&lt;/a&gt;</t>
  </si>
  <si>
    <t>&lt;a href="http://a836-acris.nyc.gov/DS/DocumentSearch/DocumentDetail?doc_id=2021062200557001" target="_blank"&gt;Verified by Public Record&lt;/a&gt;</t>
  </si>
  <si>
    <t>&lt;a href="http://a836-acris.nyc.gov/DS/DocumentSearch/DocumentDetail?doc_id=2020122000043001" target="_blank"&gt;Verified by Public Record&lt;/a&gt;</t>
  </si>
  <si>
    <t>&lt;a href="http://a836-acris.nyc.gov/DS/DocumentSearch/DocumentDetail?doc_id=2020082000874002" target="_blank"&gt;Verified by Public Record&lt;/a&gt;</t>
  </si>
  <si>
    <t>&lt;a href="http://a836-acris.nyc.gov/DS/DocumentSearch/DocumentDetail?doc_id=2020092800353003" target="_blank"&gt;Verified by Public Record&lt;/a&gt;</t>
  </si>
  <si>
    <t>&lt;a href="http://a836-acris.nyc.gov/DS/DocumentSearch/DocumentDetail?doc_id=2021080301056001" target="_blank"&gt;Verified by Public Record&lt;/a&gt;</t>
  </si>
  <si>
    <t>&lt;a href="http://a836-acris.nyc.gov/DS/DocumentSearch/DocumentDetail?doc_id=2021072101669001" target="_blank"&gt;Verified by Public Record&lt;/a&gt;</t>
  </si>
  <si>
    <t>&lt;a href="http://a836-acris.nyc.gov/DS/DocumentSearch/DocumentDetail?doc_id=2021072101477001" target="_blank"&gt;Verified by Public Record&lt;/a&gt;</t>
  </si>
  <si>
    <t>&lt;a href="http://a836-acris.nyc.gov/DS/DocumentSearch/DocumentDetail?doc_id=2021051500102003" target="_blank"&gt;Verified by Public Record&lt;/a&gt;</t>
  </si>
  <si>
    <t>&lt;a href="http://a836-acris.nyc.gov/DS/DocumentSearch/DocumentDetail?doc_id=2021062901091001" target="_blank"&gt;Verified by Public Record&lt;/a&gt;</t>
  </si>
  <si>
    <t>Juliet Balcony
Private Terrace
Patio
Common Garden
Common Outdoor Space
Private Outdoor Space</t>
  </si>
  <si>
    <t>&lt;a href="http://a836-acris.nyc.gov/DS/DocumentSearch/DocumentDetail?doc_id=2021040100374001" target="_blank"&gt;Verified by Public Record&lt;/a&gt;</t>
  </si>
  <si>
    <t>&lt;a href="http://a836-acris.nyc.gov/DS/DocumentSearch/DocumentDetail?doc_id=2020102700266007" target="_blank"&gt;Verified by Public Record&lt;/a&gt;</t>
  </si>
  <si>
    <t>&lt;a href="http://a836-acris.nyc.gov/DS/DocumentSearch/DocumentDetail?doc_id=2021052700371001" target="_blank"&gt;Verified by Public Record&lt;/a&gt;</t>
  </si>
  <si>
    <t>&lt;a href="http://a836-acris.nyc.gov/DS/DocumentSearch/DocumentDetail?doc_id=2020112900004003" target="_blank"&gt;Verified by Public Record&lt;/a&gt;</t>
  </si>
  <si>
    <t>&lt;a href="http://a836-acris.nyc.gov/DS/DocumentSearch/DocumentDetail?doc_id=2021031300026002" target="_blank"&gt;Verified by Public Record&lt;/a&gt;</t>
  </si>
  <si>
    <t>&lt;a href="http://a836-acris.nyc.gov/DS/DocumentSearch/DocumentDetail?doc_id=2021061000026001" target="_blank"&gt;Verified by Public Record&lt;/a&gt;</t>
  </si>
  <si>
    <t>&lt;a href="http://a836-acris.nyc.gov/DS/DocumentSearch/DocumentDetail?doc_id=2020120400326001" target="_blank"&gt;Verified by Public Record&lt;/a&gt;</t>
  </si>
  <si>
    <t>&lt;a href="http://a836-acris.nyc.gov/DS/DocumentSearch/DocumentDetail?doc_id=2021032300196003" target="_blank"&gt;Verified by Public Record&lt;/a&gt;</t>
  </si>
  <si>
    <t>&lt;a href="http://a836-acris.nyc.gov/DS/DocumentSearch/DocumentDetail?doc_id=2021010701371003" target="_blank"&gt;Verified by Public Record&lt;/a&gt;</t>
  </si>
  <si>
    <t>Condominium/Residential/Condo</t>
  </si>
  <si>
    <t>/Condo</t>
  </si>
  <si>
    <t>&lt;a href="http://a836-acris.nyc.gov/DS/DocumentSearch/DocumentDetail?doc_id=2021021600538001" target="_blank"&gt;Verified by Public Record&lt;/a&gt;</t>
  </si>
  <si>
    <t>&lt;a href="http://a836-acris.nyc.gov/DS/DocumentSearch/DocumentDetail?doc_id=2019042400843001" target="_blank"&gt;Verified by Public Record&lt;/a&gt;</t>
  </si>
  <si>
    <t>&lt;a href="http://a836-acris.nyc.gov/DS/DocumentSearch/DocumentDetail?doc_id=2019112100875001" target="_blank"&gt;Verified by Public Record&lt;/a&gt;</t>
  </si>
  <si>
    <t>&lt;a href="http://a836-acris.nyc.gov/DS/DocumentSearch/DocumentDetail?doc_id=2019070800441001" target="_blank"&gt;Verified by Public Record&lt;/a&gt;</t>
  </si>
  <si>
    <t>&lt;a href="http://a836-acris.nyc.gov/DS/DocumentSearch/DocumentDetail?doc_id=2020042200572001" target="_blank"&gt;Verified by Public Record&lt;/a&gt;</t>
  </si>
  <si>
    <t>&lt;a href="http://a836-acris.nyc.gov/DS/DocumentSearch/DocumentDetail?doc_id=2018101600280001" target="_blank"&gt;Public Record Only&lt;/a&gt;</t>
  </si>
  <si>
    <t>&lt;a href="http://a836-acris.nyc.gov/DS/DocumentSearch/DocumentDetail?doc_id=2018101501089001" target="_blank"&gt;Public Record Only&lt;/a&gt;</t>
  </si>
  <si>
    <t>&lt;a href="http://a836-acris.nyc.gov/DS/DocumentSearch/DocumentDetail?doc_id=2018101500721001" target="_blank"&gt;Public Record Only&lt;/a&gt;</t>
  </si>
  <si>
    <t>&lt;a href="http://a836-acris.nyc.gov/DS/DocumentSearch/DocumentDetail?doc_id=2018101900204001" target="_blank"&gt;Public Record Only&lt;/a&gt;</t>
  </si>
  <si>
    <t>&lt;a href="http://a836-acris.nyc.gov/DS/DocumentSearch/DocumentDetail?doc_id=2018101700136001" target="_blank"&gt;Public Record Only&lt;/a&gt;</t>
  </si>
  <si>
    <t>&lt;a href="http://a836-acris.nyc.gov/DS/DocumentSearch/DocumentDetail?doc_id=2019062500815001" target="_blank"&gt;Verified by Public Record&lt;/a&gt;</t>
  </si>
  <si>
    <t>&lt;a href="http://a836-acris.nyc.gov/DS/DocumentSearch/DocumentDetail?doc_id=2018102200682002" target="_blank"&gt;Public Record Only&lt;/a&gt;</t>
  </si>
  <si>
    <t>&lt;a href="http://a836-acris.nyc.gov/DS/DocumentSearch/DocumentDetail?doc_id=2018101101067001" target="_blank"&gt;Public Record Only&lt;/a&gt;</t>
  </si>
  <si>
    <t>&lt;a href="http://a836-acris.nyc.gov/DS/DocumentSearch/DocumentDetail?doc_id=2018102300353001" target="_blank"&gt;Public Record Only&lt;/a&gt;</t>
  </si>
  <si>
    <t>&lt;a href="http://a836-acris.nyc.gov/DS/DocumentSearch/DocumentDetail?doc_id=2018102201028001" target="_blank"&gt;Public Record Only&lt;/a&gt;</t>
  </si>
  <si>
    <t>&lt;a href="http://a836-acris.nyc.gov/DS/DocumentSearch/DocumentDetail?doc_id=2018102600685001" target="_blank"&gt;Public Record Only&lt;/a&gt;</t>
  </si>
  <si>
    <t>&lt;a href="http://a836-acris.nyc.gov/DS/DocumentSearch/DocumentDetail?doc_id=2018102601119002" target="_blank"&gt;Public Record Only&lt;/a&gt;</t>
  </si>
  <si>
    <t>&lt;a href="http://a836-acris.nyc.gov/DS/DocumentSearch/DocumentDetail?doc_id=2018102900181001" target="_blank"&gt;Public Record Only&lt;/a&gt;</t>
  </si>
  <si>
    <t>&lt;a href="http://a836-acris.nyc.gov/DS/DocumentSearch/DocumentDetail?doc_id=2018102601237002" target="_blank"&gt;Public Record Only&lt;/a&gt;</t>
  </si>
  <si>
    <t>&lt;a href="http://a836-acris.nyc.gov/DS/DocumentSearch/DocumentDetail?doc_id=2018110100977002" target="_blank"&gt;Public Record Only&lt;/a&gt;</t>
  </si>
  <si>
    <t>&lt;a href="http://a836-acris.nyc.gov/DS/DocumentSearch/DocumentDetail?doc_id=2018110101193001" target="_blank"&gt;Public Record Only&lt;/a&gt;</t>
  </si>
  <si>
    <t>&lt;a href="http://a836-acris.nyc.gov/DS/DocumentSearch/DocumentDetail?doc_id=2018103100419001" target="_blank"&gt;Public Record Only&lt;/a&gt;</t>
  </si>
  <si>
    <t>&lt;a href="http://a836-acris.nyc.gov/DS/DocumentSearch/DocumentDetail?doc_id=2018103000903002" target="_blank"&gt;Public Record Only&lt;/a&gt;</t>
  </si>
  <si>
    <t>&lt;a href="http://a836-acris.nyc.gov/DS/DocumentSearch/DocumentDetail?doc_id=2018112001420002" target="_blank"&gt;Verified by Public Record&lt;/a&gt;</t>
  </si>
  <si>
    <t>&lt;a href="http://a836-acris.nyc.gov/DS/DocumentSearch/DocumentDetail?doc_id=2018111900036003" target="_blank"&gt;Public Record Only&lt;/a&gt;</t>
  </si>
  <si>
    <t>&lt;a href="http://a836-acris.nyc.gov/DS/DocumentSearch/DocumentDetail?doc_id=2018110801013002" target="_blank"&gt;Public Record Only&lt;/a&gt;</t>
  </si>
  <si>
    <t>&lt;a href="http://a836-acris.nyc.gov/DS/DocumentSearch/DocumentDetail?doc_id=2018111500138001" target="_blank"&gt;Public Record Only&lt;/a&gt;</t>
  </si>
  <si>
    <t>&lt;a href="http://a836-acris.nyc.gov/DS/DocumentSearch/DocumentDetail?doc_id=2018111300814001" target="_blank"&gt;Public Record Only&lt;/a&gt;</t>
  </si>
  <si>
    <t>&lt;a href="http://a836-acris.nyc.gov/DS/DocumentSearch/DocumentDetail?doc_id=2018112001371001" target="_blank"&gt;Public Record Only&lt;/a&gt;</t>
  </si>
  <si>
    <t>&lt;a href="http://a836-acris.nyc.gov/DS/DocumentSearch/DocumentDetail?doc_id=2018102400379001" target="_blank"&gt;Public Record Only&lt;/a&gt;</t>
  </si>
  <si>
    <t>&lt;a href="http://a836-acris.nyc.gov/DS/DocumentSearch/DocumentDetail?doc_id=2018120700130001" target="_blank"&gt;Public Record Only&lt;/a&gt;</t>
  </si>
  <si>
    <t>&lt;a href="http://a836-acris.nyc.gov/DS/DocumentSearch/DocumentDetail?doc_id=2018121100191001" target="_blank"&gt;Public Record Only&lt;/a&gt;</t>
  </si>
  <si>
    <t>&lt;a href="http://a836-acris.nyc.gov/DS/DocumentSearch/DocumentDetail?doc_id=2018121300404001" target="_blank"&gt;Public Record Only&lt;/a&gt;</t>
  </si>
  <si>
    <t>&lt;a href="http://a836-acris.nyc.gov/DS/DocumentSearch/DocumentDetail?doc_id=2018121700214001" target="_blank"&gt;Public Record Only&lt;/a&gt;</t>
  </si>
  <si>
    <t>&lt;a href="http://a836-acris.nyc.gov/DS/DocumentSearch/DocumentDetail?doc_id=2018121200548004" target="_blank"&gt;Verified by Public Record&lt;/a&gt;</t>
  </si>
  <si>
    <t>&lt;a href="http://a836-acris.nyc.gov/DS/DocumentSearch/DocumentDetail?doc_id=2019010200664001" target="_blank"&gt;Public Record Only&lt;/a&gt;</t>
  </si>
  <si>
    <t>&lt;a href="http://a836-acris.nyc.gov/DS/DocumentSearch/DocumentDetail?doc_id=2018101701115001" target="_blank"&gt;Public Record Only&lt;/a&gt;</t>
  </si>
  <si>
    <t>&lt;a href="http://a836-acris.nyc.gov/DS/DocumentSearch/DocumentDetail?doc_id=2019011801039003" target="_blank"&gt;Public Record Only&lt;/a&gt;</t>
  </si>
  <si>
    <t>&lt;a href="http://a836-acris.nyc.gov/DS/DocumentSearch/DocumentDetail?doc_id=2019020700475001" target="_blank"&gt;Public Record Only&lt;/a&gt;</t>
  </si>
  <si>
    <t>&lt;a href="http://a836-acris.nyc.gov/DS/DocumentSearch/DocumentDetail?doc_id=2020092200353002" target="_blank"&gt;Verified by Public Record&lt;/a&gt;</t>
  </si>
  <si>
    <t>&lt;a href="http://a836-acris.nyc.gov/DS/DocumentSearch/DocumentDetail?doc_id=2019030701221001" target="_blank"&gt;Public Record Only&lt;/a&gt;</t>
  </si>
  <si>
    <t>&lt;a href="http://a836-acris.nyc.gov/DS/DocumentSearch/DocumentDetail?doc_id=2019031400857001" target="_blank"&gt;Public Record Only&lt;/a&gt;</t>
  </si>
  <si>
    <t>&lt;a href="http://a836-acris.nyc.gov/DS/DocumentSearch/DocumentDetail?doc_id=2019032900046001" target="_blank"&gt;Public Record Only&lt;/a&gt;</t>
  </si>
  <si>
    <t>&lt;a href="http://a836-acris.nyc.gov/DS/DocumentSearch/DocumentDetail?doc_id=2019032900102001" target="_blank"&gt;Public Record Only&lt;/a&gt;</t>
  </si>
  <si>
    <t>&lt;a href="http://a836-acris.nyc.gov/DS/DocumentSearch/DocumentDetail?doc_id=2019040500566001" target="_blank"&gt;Public Record Only&lt;/a&gt;</t>
  </si>
  <si>
    <t>&lt;a href="http://a836-acris.nyc.gov/DS/DocumentSearch/DocumentDetail?doc_id=2014101701633002" target="_blank"&gt;Public Record Only&lt;/a&gt;</t>
  </si>
  <si>
    <t>&lt;a href="http://a836-acris.nyc.gov/DS/DocumentSearch/DocumentDetail?doc_id=2017121800783001" target="_blank"&gt;Public Record Only&lt;/a&gt;</t>
  </si>
  <si>
    <t>&lt;a href="http://a836-acris.nyc.gov/DS/DocumentSearch/DocumentDetail?doc_id=2019053000481001" target="_blank"&gt;Public Record Only&lt;/a&gt;</t>
  </si>
  <si>
    <t>&lt;a href="http://a836-acris.nyc.gov/DS/DocumentSearch/DocumentDetail?doc_id=2019051601150001" target="_blank"&gt;Public Record Only&lt;/a&gt;</t>
  </si>
  <si>
    <t>&lt;a href="http://a836-acris.nyc.gov/DS/DocumentSearch/DocumentDetail?doc_id=2019052101234001" target="_blank"&gt;Public Record Only&lt;/a&gt;</t>
  </si>
  <si>
    <t>&lt;a href="http://a836-acris.nyc.gov/DS/DocumentSearch/DocumentDetail?doc_id=2019050200307001" target="_blank"&gt;Public Record Only&lt;/a&gt;</t>
  </si>
  <si>
    <t>&lt;a href="http://a836-acris.nyc.gov/DS/DocumentSearch/DocumentDetail?doc_id=2019052101145001" target="_blank"&gt;Public Record Only&lt;/a&gt;</t>
  </si>
  <si>
    <t>&lt;a href="http://a836-acris.nyc.gov/DS/DocumentSearch/DocumentDetail?doc_id=2018101101036001" target="_blank"&gt;Public Record Only&lt;/a&gt;</t>
  </si>
  <si>
    <t>&lt;a href="http://a836-acris.nyc.gov/DS/DocumentSearch/DocumentDetail?doc_id=2018121200306001" target="_blank"&gt;Public Record Only&lt;/a&gt;</t>
  </si>
  <si>
    <t>&lt;a href="http://a836-acris.nyc.gov/DS/DocumentSearch/DocumentDetail?doc_id=2019010400905001" target="_blank"&gt;Public Record Only&lt;/a&gt;</t>
  </si>
  <si>
    <t>&lt;a href="http://a836-acris.nyc.gov/DS/DocumentSearch/DocumentDetail?doc_id=2019052000891001" target="_blank"&gt;Public Record Only&lt;/a&gt;</t>
  </si>
  <si>
    <t>&lt;a href="http://a836-acris.nyc.gov/DS/DocumentSearch/DocumentDetail?doc_id=2015042200831001" target="_blank"&gt;Verified by Public Record&lt;/a&gt;</t>
  </si>
  <si>
    <t>&lt;a href="http://a836-acris.nyc.gov/DS/DocumentSearch/DocumentDetail?doc_id=2014080501505002" target="_blank"&gt;Public Record Only&lt;/a&gt;</t>
  </si>
  <si>
    <t>&lt;a href="http://a836-acris.nyc.gov/DS/DocumentSearch/DocumentDetail?doc_id=2014091100275001" target="_blank"&gt;Public Record Only&lt;/a&gt;</t>
  </si>
  <si>
    <t>&lt;a href="http://a836-acris.nyc.gov/DS/DocumentSearch/DocumentDetail?doc_id=2014090500114001" target="_blank"&gt;Public Record Only&lt;/a&gt;</t>
  </si>
  <si>
    <t>&lt;a href="http://a836-acris.nyc.gov/DS/DocumentSearch/DocumentDetail?doc_id=2014091500225001" target="_blank"&gt;Public Record Only&lt;/a&gt;</t>
  </si>
  <si>
    <t>&lt;a href="http://a836-acris.nyc.gov/DS/DocumentSearch/DocumentDetail?doc_id=2015022300354001" target="_blank"&gt;Public Record Only&lt;/a&gt;</t>
  </si>
  <si>
    <t>&lt;a href="http://a836-acris.nyc.gov/DS/DocumentSearch/DocumentDetail?doc_id=2014082801356001" target="_blank"&gt;Public Record Only&lt;/a&gt;</t>
  </si>
  <si>
    <t>&lt;a href="http://a836-acris.nyc.gov/DS/DocumentSearch/DocumentDetail?doc_id=2017092600600001" target="_blank"&gt;Verified by Public Record&lt;/a&gt;</t>
  </si>
  <si>
    <t>&lt;a href="http://a836-acris.nyc.gov/DS/DocumentSearch/DocumentDetail?doc_id=2016112200779001" target="_blank"&gt;Public Record Only&lt;/a&gt;</t>
  </si>
  <si>
    <t>&lt;a href="http://a836-acris.nyc.gov/DS/DocumentSearch/DocumentDetail?doc_id=2016091201289002" target="_blank"&gt;Public Record Only&lt;/a&gt;</t>
  </si>
  <si>
    <t>&lt;a href="http://a836-acris.nyc.gov/DS/DocumentSearch/DocumentDetail?doc_id=2017101000266001" target="_blank"&gt;Public Record Only&lt;/a&gt;</t>
  </si>
  <si>
    <t>&lt;a href="http://a836-acris.nyc.gov/DS/DocumentSearch/DocumentDetail?doc_id=2016101401305001" target="_blank"&gt;Public Record Only&lt;/a&gt;</t>
  </si>
  <si>
    <t>&lt;a href="http://a836-acris.nyc.gov/DS/DocumentSearch/DocumentDetail?doc_id=2017020800495002" target="_blank"&gt;Public Record Only&lt;/a&gt;</t>
  </si>
  <si>
    <t>&lt;a href="http://a836-acris.nyc.gov/DS/DocumentSearch/DocumentDetail?doc_id=2017012600531001" target="_blank"&gt;Public Record Only&lt;/a&gt;</t>
  </si>
  <si>
    <t>&lt;a href="http://a836-acris.nyc.gov/DS/DocumentSearch/DocumentDetail?doc_id=2017022701616001" target="_blank"&gt;Public Record Only&lt;/a&gt;</t>
  </si>
  <si>
    <t>&lt;a href="http://a836-acris.nyc.gov/DS/DocumentSearch/DocumentDetail?doc_id=2017040200012001" target="_blank"&gt;Public Record Only&lt;/a&gt;</t>
  </si>
  <si>
    <t>&lt;a href="http://a836-acris.nyc.gov/DS/DocumentSearch/DocumentDetail?doc_id=2017042700789001" target="_blank"&gt;Public Record Only&lt;/a&gt;</t>
  </si>
  <si>
    <t>&lt;a href="http://a836-acris.nyc.gov/DS/DocumentSearch/DocumentDetail?doc_id=2017061500077001" target="_blank"&gt;Public Record Only&lt;/a&gt;</t>
  </si>
  <si>
    <t>&lt;a href="http://a836-acris.nyc.gov/DS/DocumentSearch/DocumentDetail?doc_id=2017021501123001" target="_blank"&gt;Public Record Only&lt;/a&gt;</t>
  </si>
  <si>
    <t>&lt;a href="http://a836-acris.nyc.gov/DS/DocumentSearch/DocumentDetail?doc_id=2016072100357007" target="_blank"&gt;Public Record Only&lt;/a&gt;</t>
  </si>
  <si>
    <t>&lt;a href="http://a836-acris.nyc.gov/DS/DocumentSearch/DocumentDetail?doc_id=2017041700265001" target="_blank"&gt;Public Record Only&lt;/a&gt;</t>
  </si>
  <si>
    <t>&lt;a href="http://a836-acris.nyc.gov/DS/DocumentSearch/DocumentDetail?doc_id=2016050301332001" target="_blank"&gt;Public Record Only&lt;/a&gt;</t>
  </si>
  <si>
    <t>&lt;a href="http://a836-acris.nyc.gov/DS/DocumentSearch/DocumentDetail?doc_id=2015122200337001" target="_blank"&gt;Public Record Only&lt;/a&gt;</t>
  </si>
  <si>
    <t>&lt;a href="http://a836-acris.nyc.gov/DS/DocumentSearch/DocumentDetail?doc_id=2015030200264001" target="_blank"&gt;Public Record Only&lt;/a&gt;</t>
  </si>
  <si>
    <t>&lt;a href="http://a836-acris.nyc.gov/DS/DocumentSearch/DocumentDetail?doc_id=2007101001500001" target="_blank"&gt;Public Record Only&lt;/a&gt;</t>
  </si>
  <si>
    <t>&lt;a href="http://a836-acris.nyc.gov/DS/DocumentSearch/DocumentDetail?doc_id=2017101700567001" target="_blank"&gt;Public Record Only&lt;/a&gt;</t>
  </si>
  <si>
    <t>&lt;a href="http://a836-acris.nyc.gov/DS/DocumentSearch/DocumentDetail?doc_id=2017110900157001" target="_blank"&gt;Public Record Only&lt;/a&gt;</t>
  </si>
  <si>
    <t>&lt;a href="http://a836-acris.nyc.gov/DS/DocumentSearch/DocumentDetail?doc_id=2018030900449002" target="_blank"&gt;Public Record Only&lt;/a&gt;</t>
  </si>
  <si>
    <t>&lt;a href="http://a836-acris.nyc.gov/DS/DocumentSearch/DocumentDetail?doc_id=2017050500833002" target="_blank"&gt;Public Record Only&lt;/a&gt;</t>
  </si>
  <si>
    <t>&lt;a href="http://a836-acris.nyc.gov/DS/DocumentSearch/DocumentDetail?doc_id=2015022000350001" target="_blank"&gt;Public Record Only&lt;/a&gt;</t>
  </si>
  <si>
    <t>&lt;a href="http://a836-acris.nyc.gov/DS/DocumentSearch/DocumentDetail?doc_id=2017041300791002" target="_blank"&gt;Public Record Only&lt;/a&gt;</t>
  </si>
  <si>
    <t>&lt;a href="http://a836-acris.nyc.gov/DS/DocumentSearch/DocumentDetail?doc_id=2013102100903001" target="_blank"&gt;Public Record Only&lt;/a&gt;</t>
  </si>
  <si>
    <t>&lt;a href="http://a836-acris.nyc.gov/DS/DocumentSearch/DocumentDetail?doc_id=2014051000048001" target="_blank"&gt;Public Record Only&lt;/a&gt;</t>
  </si>
  <si>
    <t>&lt;a href="http://a836-acris.nyc.gov/DS/DocumentSearch/DocumentDetail?doc_id=2014012800794002" target="_blank"&gt;Public Record Only&lt;/a&gt;</t>
  </si>
  <si>
    <t>&lt;a href="http://a836-acris.nyc.gov/DS/DocumentSearch/DocumentDetail?doc_id=2014032500811001" target="_blank"&gt;Public Record Only&lt;/a&gt;</t>
  </si>
  <si>
    <t>&lt;a href="http://a836-acris.nyc.gov/DS/DocumentSearch/DocumentDetail?doc_id=2014040700100001" target="_blank"&gt;Public Record Only&lt;/a&gt;</t>
  </si>
  <si>
    <t>&lt;a href="http://a836-acris.nyc.gov/DS/DocumentSearch/DocumentDetail?doc_id=2014052702351001" target="_blank"&gt;Public Record Only&lt;/a&gt;</t>
  </si>
  <si>
    <t>&lt;a href="http://a836-acris.nyc.gov/DS/DocumentSearch/DocumentDetail?doc_id=2015102901034001" target="_blank"&gt;Public Record Only&lt;/a&gt;</t>
  </si>
  <si>
    <t>&lt;a href="http://a836-acris.nyc.gov/DS/DocumentSearch/DocumentDetail?doc_id=2015092501271001" target="_blank"&gt;Public Record Only&lt;/a&gt;</t>
  </si>
  <si>
    <t>&lt;a href="http://a836-acris.nyc.gov/DS/DocumentSearch/DocumentDetail?doc_id=2015092600029001" target="_blank"&gt;Public Record Only&lt;/a&gt;</t>
  </si>
  <si>
    <t>&lt;a href="http://a836-acris.nyc.gov/DS/DocumentSearch/DocumentDetail?doc_id=2015091800975001" target="_blank"&gt;Public Record Only&lt;/a&gt;</t>
  </si>
  <si>
    <t>&lt;a href="http://a836-acris.nyc.gov/DS/DocumentSearch/DocumentDetail?doc_id=2015101600282001" target="_blank"&gt;Public Record Only&lt;/a&gt;</t>
  </si>
  <si>
    <t>&lt;a href="http://a836-acris.nyc.gov/DS/DocumentSearch/DocumentDetail?doc_id=2015100900516001" target="_blank"&gt;Public Record Only&lt;/a&gt;</t>
  </si>
  <si>
    <t>&lt;a href="http://a836-acris.nyc.gov/DS/DocumentSearch/DocumentDetail?doc_id=2015100600057001" target="_blank"&gt;Public Record Only&lt;/a&gt;</t>
  </si>
  <si>
    <t>&lt;a href="http://a836-acris.nyc.gov/DS/DocumentSearch/DocumentDetail?doc_id=2015092800853001" target="_blank"&gt;Public Record Only&lt;/a&gt;</t>
  </si>
  <si>
    <t>&lt;a href="http://a836-acris.nyc.gov/DS/DocumentSearch/DocumentDetail?doc_id=2015100201445001" target="_blank"&gt;Public Record Only&lt;/a&gt;</t>
  </si>
  <si>
    <t>&lt;a href="http://a836-acris.nyc.gov/DS/DocumentSearch/DocumentDetail?doc_id=2015103001294001" target="_blank"&gt;Public Record Only&lt;/a&gt;</t>
  </si>
  <si>
    <t>&lt;a href="http://a836-acris.nyc.gov/DS/DocumentSearch/DocumentDetail?doc_id=2015100200857006" target="_blank"&gt;Public Record Only&lt;/a&gt;</t>
  </si>
  <si>
    <t>&lt;a href="http://a836-acris.nyc.gov/DS/DocumentSearch/DocumentDetail?doc_id=2018062101139001" target="_blank"&gt;Public Record Only&lt;/a&gt;</t>
  </si>
  <si>
    <t>&lt;a href="http://a836-acris.nyc.gov/DS/DocumentSearch/DocumentDetail?doc_id=2015101901055001" target="_blank"&gt;Public Record Only&lt;/a&gt;</t>
  </si>
  <si>
    <t>&lt;a href="http://a836-acris.nyc.gov/DS/DocumentSearch/DocumentDetail?doc_id=2015100500859003" target="_blank"&gt;Public Record Only&lt;/a&gt;</t>
  </si>
  <si>
    <t>&lt;a href="http://a836-acris.nyc.gov/DS/DocumentSearch/DocumentDetail?doc_id=2015101301342002" target="_blank"&gt;Public Record Only&lt;/a&gt;</t>
  </si>
  <si>
    <t>&lt;a href="http://a836-acris.nyc.gov/DS/DocumentSearch/DocumentDetail?doc_id=2018052500510001" target="_blank"&gt;Public Record Only&lt;/a&gt;</t>
  </si>
  <si>
    <t>&lt;a href="http://a836-acris.nyc.gov/DS/DocumentSearch/DocumentDetail?doc_id=2015092100438001" target="_blank"&gt;Public Record Only&lt;/a&gt;</t>
  </si>
  <si>
    <t>&lt;a href="http://a836-acris.nyc.gov/DS/DocumentSearch/DocumentDetail?doc_id=2017092100971006" target="_blank"&gt;Public Record Only&lt;/a&gt;</t>
  </si>
  <si>
    <t>&lt;a href="http://a836-acris.nyc.gov/DS/DocumentSearch/DocumentDetail?doc_id=2017101600926001" target="_blank"&gt;Public Record Only&lt;/a&gt;</t>
  </si>
  <si>
    <t>&lt;a href="http://a836-acris.nyc.gov/DS/DocumentSearch/DocumentDetail?doc_id=2015101600359002" target="_blank"&gt;Public Record Only&lt;/a&gt;</t>
  </si>
  <si>
    <t>&lt;a href="http://a836-acris.nyc.gov/DS/DocumentSearch/DocumentDetail?doc_id=2015092900866001" target="_blank"&gt;Public Record Only&lt;/a&gt;</t>
  </si>
  <si>
    <t>&lt;a href="http://a836-acris.nyc.gov/DS/DocumentSearch/DocumentDetail?doc_id=2016012800723001" target="_blank"&gt;Verified by Public Record&lt;/a&gt;</t>
  </si>
  <si>
    <t>&lt;a href="http://a836-acris.nyc.gov/DS/DocumentSearch/DocumentDetail?doc_id=2017031501208001" target="_blank"&gt;Public Record Only&lt;/a&gt;</t>
  </si>
  <si>
    <t>&lt;a href="http://a836-acris.nyc.gov/DS/DocumentSearch/DocumentDetail?doc_id=2015092100866001" target="_blank"&gt;Public Record Only&lt;/a&gt;</t>
  </si>
  <si>
    <t>&lt;a href="http://a836-acris.nyc.gov/DS/DocumentSearch/DocumentDetail?doc_id=2017091200083001" target="_blank"&gt;Public Record Only&lt;/a&gt;</t>
  </si>
  <si>
    <t>&lt;a href="http://a836-acris.nyc.gov/DS/DocumentSearch/DocumentDetail?doc_id=2016052601409001" target="_blank"&gt;Public Record Only&lt;/a&gt;</t>
  </si>
  <si>
    <t>&lt;a href="http://a836-acris.nyc.gov/DS/DocumentSearch/DocumentDetail?doc_id=2016010500058001" target="_blank"&gt;Public Record Only&lt;/a&gt;</t>
  </si>
  <si>
    <t>&lt;a href="http://a836-acris.nyc.gov/DS/DocumentSearch/DocumentDetail?doc_id=2018041000599002" target="_blank"&gt;Public Record Only&lt;/a&gt;</t>
  </si>
  <si>
    <t>&lt;a href="http://a836-acris.nyc.gov/DS/DocumentSearch/DocumentDetail?doc_id=2018032700536001" target="_blank"&gt;Public Record Only&lt;/a&gt;</t>
  </si>
  <si>
    <t>&lt;a href="http://a836-acris.nyc.gov/DS/DocumentSearch/DocumentDetail?doc_id=2017112900968001" target="_blank"&gt;Verified by Public Record&lt;/a&gt;</t>
  </si>
  <si>
    <t>&lt;a href="http://a836-acris.nyc.gov/DS/DocumentSearch/DocumentDetail?doc_id=2015092800498001" target="_blank"&gt;Public Record Only&lt;/a&gt;</t>
  </si>
  <si>
    <t>&lt;a href="http://a836-acris.nyc.gov/DS/DocumentSearch/DocumentDetail?doc_id=2017122700793001" target="_blank"&gt;Public Record Only&lt;/a&gt;</t>
  </si>
  <si>
    <t>&lt;a href="http://a836-acris.nyc.gov/DS/DocumentSearch/DocumentDetail?doc_id=2018050701125002" target="_blank"&gt;Public Record Only&lt;/a&gt;</t>
  </si>
  <si>
    <t>&lt;a href="http://a836-acris.nyc.gov/DS/DocumentSearch/DocumentDetail?doc_id=2018040401268002" target="_blank"&gt;Public Record Only&lt;/a&gt;</t>
  </si>
  <si>
    <t>&lt;a href="http://a836-acris.nyc.gov/DS/DocumentSearch/DocumentDetail?doc_id=2015110600305001" target="_blank"&gt;Public Record Only&lt;/a&gt;</t>
  </si>
  <si>
    <t>&lt;a href="http://a836-acris.nyc.gov/DS/DocumentSearch/DocumentDetail?doc_id=2018011700294001" target="_blank"&gt;Public Record Only&lt;/a&gt;</t>
  </si>
  <si>
    <t>&lt;a href="http://a836-acris.nyc.gov/DS/DocumentSearch/DocumentDetail?doc_id=2014052100251001" target="_blank"&gt;Public Record Only&lt;/a&gt;</t>
  </si>
  <si>
    <t>&lt;a href="http://a836-acris.nyc.gov/DS/DocumentSearch/DocumentDetail?doc_id=2014052100917001" target="_blank"&gt;Public Record Only&lt;/a&gt;</t>
  </si>
  <si>
    <t>&lt;a href="http://a836-acris.nyc.gov/DS/DocumentSearch/DocumentDetail?doc_id=2014053001694001" target="_blank"&gt;Public Record Only&lt;/a&gt;</t>
  </si>
  <si>
    <t>&lt;a href="http://a836-acris.nyc.gov/DS/DocumentSearch/DocumentDetail?doc_id=2014051900703001" target="_blank"&gt;Public Record Only&lt;/a&gt;</t>
  </si>
  <si>
    <t>&lt;a href="http://a836-acris.nyc.gov/DS/DocumentSearch/DocumentDetail?doc_id=2014051900786001" target="_blank"&gt;Public Record Only&lt;/a&gt;</t>
  </si>
  <si>
    <t>&lt;a href="http://a836-acris.nyc.gov/DS/DocumentSearch/DocumentDetail?doc_id=2014051900856001" target="_blank"&gt;Public Record Only&lt;/a&gt;</t>
  </si>
  <si>
    <t>&lt;a href="http://a836-acris.nyc.gov/DS/DocumentSearch/DocumentDetail?doc_id=2014080700428001" target="_blank"&gt;Public Record Only&lt;/a&gt;</t>
  </si>
  <si>
    <t>&lt;a href="http://a836-acris.nyc.gov/DS/DocumentSearch/DocumentDetail?doc_id=2014060501949001" target="_blank"&gt;Public Record Only&lt;/a&gt;</t>
  </si>
  <si>
    <t>&lt;a href="http://a836-acris.nyc.gov/DS/DocumentSearch/DocumentDetail?doc_id=2014060501968001" target="_blank"&gt;Public Record Only&lt;/a&gt;</t>
  </si>
  <si>
    <t>&lt;a href="http://a836-acris.nyc.gov/DS/DocumentSearch/DocumentDetail?doc_id=2014072101256001" target="_blank"&gt;Public Record Only&lt;/a&gt;</t>
  </si>
  <si>
    <t>&lt;a href="http://a836-acris.nyc.gov/DS/DocumentSearch/DocumentDetail?doc_id=2014061700879001" target="_blank"&gt;Public Record Only&lt;/a&gt;</t>
  </si>
  <si>
    <t>&lt;a href="http://a836-acris.nyc.gov/DS/DocumentSearch/DocumentDetail?doc_id=2017030100336001" target="_blank"&gt;Public Record Only&lt;/a&gt;</t>
  </si>
  <si>
    <t>&lt;a href="http://a836-acris.nyc.gov/DS/DocumentSearch/DocumentDetail?doc_id=2014102300960001" target="_blank"&gt;Public Record Only&lt;/a&gt;</t>
  </si>
  <si>
    <t>&lt;a href="http://a836-acris.nyc.gov/DS/DocumentSearch/DocumentDetail?doc_id=2014061601570001" target="_blank"&gt;Public Record Only&lt;/a&gt;</t>
  </si>
  <si>
    <t>&lt;a href="http://a836-acris.nyc.gov/DS/DocumentSearch/DocumentDetail?doc_id=2014082800435001" target="_blank"&gt;Public Record Only&lt;/a&gt;</t>
  </si>
  <si>
    <t>&lt;a href="http://a836-acris.nyc.gov/DS/DocumentSearch/DocumentDetail?doc_id=2014053002309001" target="_blank"&gt;Public Record Only&lt;/a&gt;</t>
  </si>
  <si>
    <t>&lt;a href="http://a836-acris.nyc.gov/DS/DocumentSearch/DocumentDetail?doc_id=2014100100648001" target="_blank"&gt;Public Record Only&lt;/a&gt;</t>
  </si>
  <si>
    <t>&lt;a href="http://a836-acris.nyc.gov/DS/DocumentSearch/DocumentDetail?doc_id=2014111400565001" target="_blank"&gt;Public Record Only&lt;/a&gt;</t>
  </si>
  <si>
    <t>&lt;a href="http://a836-acris.nyc.gov/DS/DocumentSearch/DocumentDetail?doc_id=2014073000369001" target="_blank"&gt;Public Record Only&lt;/a&gt;</t>
  </si>
  <si>
    <t>&lt;a href="http://a836-acris.nyc.gov/DS/DocumentSearch/DocumentDetail?doc_id=2014091700375001" target="_blank"&gt;Public Record Only&lt;/a&gt;</t>
  </si>
  <si>
    <t>&lt;a href="http://a836-acris.nyc.gov/DS/DocumentSearch/DocumentDetail?doc_id=2014061601614001" target="_blank"&gt;Public Record Only&lt;/a&gt;</t>
  </si>
  <si>
    <t>&lt;a href="http://a836-acris.nyc.gov/DS/DocumentSearch/DocumentDetail?doc_id=2014101700224001" target="_blank"&gt;Public Record Only&lt;/a&gt;</t>
  </si>
  <si>
    <t>&lt;a href="http://a836-acris.nyc.gov/DS/DocumentSearch/DocumentDetail?doc_id=2014070902320001" target="_blank"&gt;Public Record Only&lt;/a&gt;</t>
  </si>
  <si>
    <t>&lt;a href="http://a836-acris.nyc.gov/DS/DocumentSearch/DocumentDetail?doc_id=2014073100253001" target="_blank"&gt;Public Record Only&lt;/a&gt;</t>
  </si>
  <si>
    <t>&lt;a href="http://a836-acris.nyc.gov/DS/DocumentSearch/DocumentDetail?doc_id=2014100800918001" target="_blank"&gt;Public Record Only&lt;/a&gt;</t>
  </si>
  <si>
    <t>&lt;a href="http://a836-acris.nyc.gov/DS/DocumentSearch/DocumentDetail?doc_id=2014061701259001" target="_blank"&gt;Public Record Only&lt;/a&gt;</t>
  </si>
  <si>
    <t>&lt;a href="http://a836-acris.nyc.gov/DS/DocumentSearch/DocumentDetail?doc_id=2014110600237001" target="_blank"&gt;Public Record Only&lt;/a&gt;</t>
  </si>
  <si>
    <t>&lt;a href="http://a836-acris.nyc.gov/DS/DocumentSearch/DocumentDetail?doc_id=2014071601360001" target="_blank"&gt;Public Record Only&lt;/a&gt;</t>
  </si>
  <si>
    <t>&lt;a href="http://a836-acris.nyc.gov/DS/DocumentSearch/DocumentDetail?doc_id=2014090900649001" target="_blank"&gt;Public Record Only&lt;/a&gt;</t>
  </si>
  <si>
    <t>&lt;a href="http://a836-acris.nyc.gov/DS/DocumentSearch/DocumentDetail?doc_id=2014072101207001" target="_blank"&gt;Public Record Only&lt;/a&gt;</t>
  </si>
  <si>
    <t>&lt;a href="http://a836-acris.nyc.gov/DS/DocumentSearch/DocumentDetail?doc_id=2014072500307001" target="_blank"&gt;Public Record Only&lt;/a&gt;</t>
  </si>
  <si>
    <t>&lt;a href="http://a836-acris.nyc.gov/DS/DocumentSearch/DocumentDetail?doc_id=2014062400499001" target="_blank"&gt;Public Record Only&lt;/a&gt;</t>
  </si>
  <si>
    <t>&lt;a href="http://a836-acris.nyc.gov/DS/DocumentSearch/DocumentDetail?doc_id=2014081302267001" target="_blank"&gt;Public Record Only&lt;/a&gt;</t>
  </si>
  <si>
    <t>&lt;a href="http://a836-acris.nyc.gov/DS/DocumentSearch/DocumentDetail?doc_id=2014060401340001" target="_blank"&gt;Public Record Only&lt;/a&gt;</t>
  </si>
  <si>
    <t>&lt;a href="http://a836-acris.nyc.gov/DS/DocumentSearch/DocumentDetail?doc_id=2014060900265001" target="_blank"&gt;Public Record Only&lt;/a&gt;</t>
  </si>
  <si>
    <t>&lt;a href="http://a836-acris.nyc.gov/DS/DocumentSearch/DocumentDetail?doc_id=2014061800503001" target="_blank"&gt;Public Record Only&lt;/a&gt;</t>
  </si>
  <si>
    <t>&lt;a href="http://a836-acris.nyc.gov/DS/DocumentSearch/DocumentDetail?doc_id=2014072100248001" target="_blank"&gt;Public Record Only&lt;/a&gt;</t>
  </si>
  <si>
    <t>&lt;a href="http://a836-acris.nyc.gov/DS/DocumentSearch/DocumentDetail?doc_id=2015021900654001" target="_blank"&gt;Public Record Only&lt;/a&gt;</t>
  </si>
  <si>
    <t>&lt;a href="http://a836-acris.nyc.gov/DS/DocumentSearch/DocumentDetail?doc_id=2014053002666001" target="_blank"&gt;Public Record Only&lt;/a&gt;</t>
  </si>
  <si>
    <t>&lt;a href="http://a836-acris.nyc.gov/DS/DocumentSearch/DocumentDetail?doc_id=2014073000341001" target="_blank"&gt;Public Record Only&lt;/a&gt;</t>
  </si>
  <si>
    <t>&lt;a href="http://a836-acris.nyc.gov/DS/DocumentSearch/DocumentDetail?doc_id=2014053002130001" target="_blank"&gt;Public Record Only&lt;/a&gt;</t>
  </si>
  <si>
    <t>&lt;a href="http://a836-acris.nyc.gov/DS/DocumentSearch/DocumentDetail?doc_id=2014071500232001" target="_blank"&gt;Public Record Only&lt;/a&gt;</t>
  </si>
  <si>
    <t>&lt;a href="http://a836-acris.nyc.gov/DS/DocumentSearch/DocumentDetail?doc_id=2014091701451001" target="_blank"&gt;Public Record Only&lt;/a&gt;</t>
  </si>
  <si>
    <t>&lt;a href="http://a836-acris.nyc.gov/DS/DocumentSearch/DocumentDetail?doc_id=2015021900720001" target="_blank"&gt;Public Record Only&lt;/a&gt;</t>
  </si>
  <si>
    <t>&lt;a href="http://a836-acris.nyc.gov/DS/DocumentSearch/DocumentDetail?doc_id=2014063000704001" target="_blank"&gt;Public Record Only&lt;/a&gt;</t>
  </si>
  <si>
    <t>&lt;a href="http://a836-acris.nyc.gov/DS/DocumentSearch/DocumentDetail?doc_id=2014082200436001" target="_blank"&gt;Public Record Only&lt;/a&gt;</t>
  </si>
  <si>
    <t>&lt;a href="http://a836-acris.nyc.gov/DS/DocumentSearch/DocumentDetail?doc_id=2014071500272001" target="_blank"&gt;Public Record Only&lt;/a&gt;</t>
  </si>
  <si>
    <t>&lt;a href="http://a836-acris.nyc.gov/DS/DocumentSearch/DocumentDetail?doc_id=2014070902837001" target="_blank"&gt;Public Record Only&lt;/a&gt;</t>
  </si>
  <si>
    <t>&lt;a href="http://a836-acris.nyc.gov/DS/DocumentSearch/DocumentDetail?doc_id=2014102800148001" target="_blank"&gt;Public Record Only&lt;/a&gt;</t>
  </si>
  <si>
    <t>&lt;a href="http://a836-acris.nyc.gov/DS/DocumentSearch/DocumentDetail?doc_id=2014060501767001" target="_blank"&gt;Public Record Only&lt;/a&gt;</t>
  </si>
  <si>
    <t>&lt;a href="http://a836-acris.nyc.gov/DS/DocumentSearch/DocumentDetail?doc_id=2014062400593001" target="_blank"&gt;Public Record Only&lt;/a&gt;</t>
  </si>
  <si>
    <t>&lt;a href="http://a836-acris.nyc.gov/DS/DocumentSearch/DocumentDetail?doc_id=2014072300582001" target="_blank"&gt;Public Record Only&lt;/a&gt;</t>
  </si>
  <si>
    <t>&lt;a href="http://a836-acris.nyc.gov/DS/DocumentSearch/DocumentDetail?doc_id=2014073101285001" target="_blank"&gt;Public Record Only&lt;/a&gt;</t>
  </si>
  <si>
    <t>&lt;a href="http://a836-acris.nyc.gov/DS/DocumentSearch/DocumentDetail?doc_id=2014082200302001" target="_blank"&gt;Public Record Only&lt;/a&gt;</t>
  </si>
  <si>
    <t>&lt;a href="http://a836-acris.nyc.gov/DS/DocumentSearch/DocumentDetail?doc_id=2014082800343001" target="_blank"&gt;Public Record Only&lt;/a&gt;</t>
  </si>
  <si>
    <t>&lt;a href="http://a836-acris.nyc.gov/DS/DocumentSearch/DocumentDetail?doc_id=2014060300343001" target="_blank"&gt;Public Record Only&lt;/a&gt;</t>
  </si>
  <si>
    <t>&lt;a href="http://a836-acris.nyc.gov/DS/DocumentSearch/DocumentDetail?doc_id=2014071500250001" target="_blank"&gt;Public Record Only&lt;/a&gt;</t>
  </si>
  <si>
    <t>&lt;a href="http://a836-acris.nyc.gov/DS/DocumentSearch/DocumentDetail?doc_id=2014082200387001" target="_blank"&gt;Public Record Only&lt;/a&gt;</t>
  </si>
  <si>
    <t>&lt;a href="http://a836-acris.nyc.gov/DS/DocumentSearch/DocumentDetail?doc_id=2014080700323001" target="_blank"&gt;Public Record Only&lt;/a&gt;</t>
  </si>
  <si>
    <t>&lt;a href="http://a836-acris.nyc.gov/DS/DocumentSearch/DocumentDetail?doc_id=2014081300563001" target="_blank"&gt;Public Record Only&lt;/a&gt;</t>
  </si>
  <si>
    <t>&lt;a href="http://a836-acris.nyc.gov/DS/DocumentSearch/DocumentDetail?doc_id=2014101500179001" target="_blank"&gt;Public Record Only&lt;/a&gt;</t>
  </si>
  <si>
    <t>&lt;a href="http://a836-acris.nyc.gov/DS/DocumentSearch/DocumentDetail?doc_id=2014061901240001" target="_blank"&gt;Public Record Only&lt;/a&gt;</t>
  </si>
  <si>
    <t>&lt;a href="http://a836-acris.nyc.gov/DS/DocumentSearch/DocumentDetail?doc_id=2014052801219001" target="_blank"&gt;Public Record Only&lt;/a&gt;</t>
  </si>
  <si>
    <t>&lt;a href="http://a836-acris.nyc.gov/DS/DocumentSearch/DocumentDetail?doc_id=2014073000387001" target="_blank"&gt;Public Record Only&lt;/a&gt;</t>
  </si>
  <si>
    <t>&lt;a href="http://a836-acris.nyc.gov/DS/DocumentSearch/DocumentDetail?doc_id=2014081500412001" target="_blank"&gt;Public Record Only&lt;/a&gt;</t>
  </si>
  <si>
    <t>&lt;a href="http://a836-acris.nyc.gov/DS/DocumentSearch/DocumentDetail?doc_id=2014061900829001" target="_blank"&gt;Public Record Only&lt;/a&gt;</t>
  </si>
  <si>
    <t>&lt;a href="http://a836-acris.nyc.gov/DS/DocumentSearch/DocumentDetail?doc_id=2014070902616001" target="_blank"&gt;Public Record Only&lt;/a&gt;</t>
  </si>
  <si>
    <t>&lt;a href="http://a836-acris.nyc.gov/DS/DocumentSearch/DocumentDetail?doc_id=2014073000280001" target="_blank"&gt;Public Record Only&lt;/a&gt;</t>
  </si>
  <si>
    <t>&lt;a href="http://a836-acris.nyc.gov/DS/DocumentSearch/DocumentDetail?doc_id=2014073000354001" target="_blank"&gt;Public Record Only&lt;/a&gt;</t>
  </si>
  <si>
    <t>&lt;a href="http://a836-acris.nyc.gov/DS/DocumentSearch/DocumentDetail?doc_id=2014082200365001" target="_blank"&gt;Public Record Only&lt;/a&gt;</t>
  </si>
  <si>
    <t>&lt;a href="http://a836-acris.nyc.gov/DS/DocumentSearch/DocumentDetail?doc_id=2014072300502001" target="_blank"&gt;Public Record Only&lt;/a&gt;</t>
  </si>
  <si>
    <t>&lt;a href="http://a836-acris.nyc.gov/DS/DocumentSearch/DocumentDetail?doc_id=2014120800356001" target="_blank"&gt;Public Record Only&lt;/a&gt;</t>
  </si>
  <si>
    <t>&lt;a href="http://a836-acris.nyc.gov/DS/DocumentSearch/DocumentDetail?doc_id=2014102200880001" target="_blank"&gt;Public Record Only&lt;/a&gt;</t>
  </si>
  <si>
    <t>&lt;a href="http://a836-acris.nyc.gov/DS/DocumentSearch/DocumentDetail?doc_id=2014060501871001" target="_blank"&gt;Public Record Only&lt;/a&gt;</t>
  </si>
  <si>
    <t>&lt;a href="http://a836-acris.nyc.gov/DS/DocumentSearch/DocumentDetail?doc_id=2014080700400001" target="_blank"&gt;Public Record Only&lt;/a&gt;</t>
  </si>
  <si>
    <t>&lt;a href="http://a836-acris.nyc.gov/DS/DocumentSearch/DocumentDetail?doc_id=2014062700864001" target="_blank"&gt;Public Record Only&lt;/a&gt;</t>
  </si>
  <si>
    <t>&lt;a href="http://a836-acris.nyc.gov/DS/DocumentSearch/DocumentDetail?doc_id=2014072400277001" target="_blank"&gt;Public Record Only&lt;/a&gt;</t>
  </si>
  <si>
    <t>&lt;a href="http://a836-acris.nyc.gov/DS/DocumentSearch/DocumentDetail?doc_id=2014060500732001" target="_blank"&gt;Public Record Only&lt;/a&gt;</t>
  </si>
  <si>
    <t>&lt;a href="http://a836-acris.nyc.gov/DS/DocumentSearch/DocumentDetail?doc_id=2014072400375001" target="_blank"&gt;Public Record Only&lt;/a&gt;</t>
  </si>
  <si>
    <t>&lt;a href="http://a836-acris.nyc.gov/DS/DocumentSearch/DocumentDetail?doc_id=2014081400376001" target="_blank"&gt;Public Record Only&lt;/a&gt;</t>
  </si>
  <si>
    <t>&lt;a href="http://a836-acris.nyc.gov/DS/DocumentSearch/DocumentDetail?doc_id=2014081501088001" target="_blank"&gt;Public Record Only&lt;/a&gt;</t>
  </si>
  <si>
    <t>&lt;a href="http://a836-acris.nyc.gov/DS/DocumentSearch/DocumentDetail?doc_id=2014120800446001" target="_blank"&gt;Public Record Only&lt;/a&gt;</t>
  </si>
  <si>
    <t>&lt;a href="http://a836-acris.nyc.gov/DS/DocumentSearch/DocumentDetail?doc_id=2014060300788001" target="_blank"&gt;Public Record Only&lt;/a&gt;</t>
  </si>
  <si>
    <t>&lt;a href="http://a836-acris.nyc.gov/DS/DocumentSearch/DocumentDetail?doc_id=2014072300545001" target="_blank"&gt;Public Record Only&lt;/a&gt;</t>
  </si>
  <si>
    <t>&lt;a href="http://a836-acris.nyc.gov/DS/DocumentSearch/DocumentDetail?doc_id=2014070902812001" target="_blank"&gt;Public Record Only&lt;/a&gt;</t>
  </si>
  <si>
    <t>&lt;a href="http://a836-acris.nyc.gov/DS/DocumentSearch/DocumentDetail?doc_id=2018020900151001" target="_blank"&gt;Verified by Public Record&lt;/a&gt;</t>
  </si>
  <si>
    <t>&lt;a href="http://a836-acris.nyc.gov/DS/DocumentSearch/DocumentDetail?doc_id=2017070500141001" target="_blank"&gt;Public Record Only&lt;/a&gt;</t>
  </si>
  <si>
    <t>&lt;a href="http://a836-acris.nyc.gov/DS/DocumentSearch/DocumentDetail?doc_id=2016061501091001" target="_blank"&gt;Public Record Only&lt;/a&gt;</t>
  </si>
  <si>
    <t>&lt;a href="http://a836-acris.nyc.gov/DS/DocumentSearch/DocumentDetail?doc_id=2017082800345001" target="_blank"&gt;Public Record Only&lt;/a&gt;</t>
  </si>
  <si>
    <t>&lt;a href="http://a836-acris.nyc.gov/DS/DocumentSearch/DocumentDetail?doc_id=2016051901260001" target="_blank"&gt;Public Record Only&lt;/a&gt;</t>
  </si>
  <si>
    <t>&lt;a href="http://a836-acris.nyc.gov/DS/DocumentSearch/DocumentDetail?doc_id=2016060200812001" target="_blank"&gt;Public Record Only&lt;/a&gt;</t>
  </si>
  <si>
    <t>&lt;a href="http://a836-acris.nyc.gov/DS/DocumentSearch/DocumentDetail?doc_id=2016071801546001" target="_blank"&gt;Public Record Only&lt;/a&gt;</t>
  </si>
  <si>
    <t>&lt;a href="http://a836-acris.nyc.gov/DS/DocumentSearch/DocumentDetail?doc_id=2016081500544001" target="_blank"&gt;Public Record Only&lt;/a&gt;</t>
  </si>
  <si>
    <t>&lt;a href="http://a836-acris.nyc.gov/DS/DocumentSearch/DocumentDetail?doc_id=2016050201397001" target="_blank"&gt;Public Record Only&lt;/a&gt;</t>
  </si>
  <si>
    <t>&lt;a href="http://a836-acris.nyc.gov/DS/DocumentSearch/DocumentDetail?doc_id=2018030500450001" target="_blank"&gt;Public Record Only&lt;/a&gt;</t>
  </si>
  <si>
    <t>&lt;a href="http://a836-acris.nyc.gov/DS/DocumentSearch/DocumentDetail?doc_id=2016071101474001" target="_blank"&gt;Public Record Only&lt;/a&gt;</t>
  </si>
  <si>
    <t>&lt;a href="http://a836-acris.nyc.gov/DS/DocumentSearch/DocumentDetail?doc_id=2016101400341001" target="_blank"&gt;Public Record Only&lt;/a&gt;</t>
  </si>
  <si>
    <t>&lt;a href="http://a836-acris.nyc.gov/DS/DocumentSearch/DocumentDetail?doc_id=2017050400573001" target="_blank"&gt;Public Record Only&lt;/a&gt;</t>
  </si>
  <si>
    <t>&lt;a href="http://a836-acris.nyc.gov/DS/DocumentSearch/DocumentDetail?doc_id=2018052200477001" target="_blank"&gt;Public Record Only&lt;/a&gt;</t>
  </si>
  <si>
    <t>&lt;a href="http://a836-acris.nyc.gov/DS/DocumentSearch/DocumentDetail?doc_id=2016051601048001" target="_blank"&gt;Public Record Only&lt;/a&gt;</t>
  </si>
  <si>
    <t>&lt;a href="http://a836-acris.nyc.gov/DS/DocumentSearch/DocumentDetail?doc_id=2017050800369001" target="_blank"&gt;Public Record Only&lt;/a&gt;</t>
  </si>
  <si>
    <t>&lt;a href="http://a836-acris.nyc.gov/DS/DocumentSearch/DocumentDetail?doc_id=2016111400762001" target="_blank"&gt;Public Record Only&lt;/a&gt;</t>
  </si>
  <si>
    <t>&lt;a href="http://a836-acris.nyc.gov/DS/DocumentSearch/DocumentDetail?doc_id=2016090701333001" target="_blank"&gt;Public Record Only&lt;/a&gt;</t>
  </si>
  <si>
    <t>&lt;a href="http://a836-acris.nyc.gov/DS/DocumentSearch/DocumentDetail?doc_id=2016051601060001" target="_blank"&gt;Public Record Only&lt;/a&gt;</t>
  </si>
  <si>
    <t>&lt;a href="http://a836-acris.nyc.gov/DS/DocumentSearch/DocumentDetail?doc_id=2017050800434001" target="_blank"&gt;Public Record Only&lt;/a&gt;</t>
  </si>
  <si>
    <t>&lt;a href="http://a836-acris.nyc.gov/DS/DocumentSearch/DocumentDetail?doc_id=2016100600978001" target="_blank"&gt;Public Record Only&lt;/a&gt;</t>
  </si>
  <si>
    <t>&lt;a href="http://a836-acris.nyc.gov/DS/DocumentSearch/DocumentDetail?doc_id=2017122400006001" target="_blank"&gt;Public Record Only&lt;/a&gt;</t>
  </si>
  <si>
    <t>&lt;a href="http://a836-acris.nyc.gov/DS/DocumentSearch/DocumentDetail?doc_id=2017032300333001" target="_blank"&gt;Public Record Only&lt;/a&gt;</t>
  </si>
  <si>
    <t>&lt;a href="http://a836-acris.nyc.gov/DS/DocumentSearch/DocumentDetail?doc_id=2015112001049001" target="_blank"&gt;Public Record Only&lt;/a&gt;</t>
  </si>
  <si>
    <t>&lt;a href="http://a836-acris.nyc.gov/DS/DocumentSearch/DocumentDetail?doc_id=2015120100817001" target="_blank"&gt;Public Record Only&lt;/a&gt;</t>
  </si>
  <si>
    <t>&lt;a href="http://a836-acris.nyc.gov/DS/DocumentSearch/DocumentDetail?doc_id=2015110200784001" target="_blank"&gt;Public Record Only&lt;/a&gt;</t>
  </si>
  <si>
    <t>&lt;a href="http://a836-acris.nyc.gov/DS/DocumentSearch/DocumentDetail?doc_id=2016041200577001" target="_blank"&gt;Public Record Only&lt;/a&gt;</t>
  </si>
  <si>
    <t>&lt;a href="http://a836-acris.nyc.gov/DS/DocumentSearch/DocumentDetail?doc_id=2015112300135001" target="_blank"&gt;Public Record Only&lt;/a&gt;</t>
  </si>
  <si>
    <t>&lt;a href="http://a836-acris.nyc.gov/DS/DocumentSearch/DocumentDetail?doc_id=2015111000010001" target="_blank"&gt;Public Record Only&lt;/a&gt;</t>
  </si>
  <si>
    <t>&lt;a href="http://a836-acris.nyc.gov/DS/DocumentSearch/DocumentDetail?doc_id=2015102700326001" target="_blank"&gt;Public Record Only&lt;/a&gt;</t>
  </si>
  <si>
    <t>&lt;a href="http://a836-acris.nyc.gov/DS/DocumentSearch/DocumentDetail?doc_id=2015112000315001" target="_blank"&gt;Public Record Only&lt;/a&gt;</t>
  </si>
  <si>
    <t>&lt;a href="http://a836-acris.nyc.gov/DS/DocumentSearch/DocumentDetail?doc_id=2015110401404001" target="_blank"&gt;Public Record Only&lt;/a&gt;</t>
  </si>
  <si>
    <t>&lt;a href="http://a836-acris.nyc.gov/DS/DocumentSearch/DocumentDetail?doc_id=2015111800532001" target="_blank"&gt;Public Record Only&lt;/a&gt;</t>
  </si>
  <si>
    <t>&lt;a href="http://a836-acris.nyc.gov/DS/DocumentSearch/DocumentDetail?doc_id=2015112000191001" target="_blank"&gt;Public Record Only&lt;/a&gt;</t>
  </si>
  <si>
    <t>&lt;a href="http://a836-acris.nyc.gov/DS/DocumentSearch/DocumentDetail?doc_id=2015121500318002" target="_blank"&gt;Public Record Only&lt;/a&gt;</t>
  </si>
  <si>
    <t>&lt;a href="http://a836-acris.nyc.gov/DS/DocumentSearch/DocumentDetail?doc_id=2015120801073005" target="_blank"&gt;Public Record Only&lt;/a&gt;</t>
  </si>
  <si>
    <t>&lt;a href="http://a836-acris.nyc.gov/DS/DocumentSearch/DocumentDetail?doc_id=2015112300949001" target="_blank"&gt;Public Record Only&lt;/a&gt;</t>
  </si>
  <si>
    <t>&lt;a href="http://a836-acris.nyc.gov/DS/DocumentSearch/DocumentDetail?doc_id=2016052301527001" target="_blank"&gt;Public Record Only&lt;/a&gt;</t>
  </si>
  <si>
    <t>&lt;a href="http://a836-acris.nyc.gov/DS/DocumentSearch/DocumentDetail?doc_id=2015112300126001" target="_blank"&gt;Public Record Only&lt;/a&gt;</t>
  </si>
  <si>
    <t>&lt;a href="http://a836-acris.nyc.gov/DS/DocumentSearch/DocumentDetail?doc_id=2015103000322003" target="_blank"&gt;Public Record Only&lt;/a&gt;</t>
  </si>
  <si>
    <t>&lt;a href="http://a836-acris.nyc.gov/DS/DocumentSearch/DocumentDetail?doc_id=2015123100270001" target="_blank"&gt;Public Record Only&lt;/a&gt;</t>
  </si>
  <si>
    <t>&lt;a href="http://a836-acris.nyc.gov/DS/DocumentSearch/DocumentDetail?doc_id=2015102001450001" target="_blank"&gt;Public Record Only&lt;/a&gt;</t>
  </si>
  <si>
    <t>&lt;a href="http://a836-acris.nyc.gov/DS/DocumentSearch/DocumentDetail?doc_id=2015110600014002" target="_blank"&gt;Public Record Only&lt;/a&gt;</t>
  </si>
  <si>
    <t>&lt;a href="http://a836-acris.nyc.gov/DS/DocumentSearch/DocumentDetail?doc_id=2015102300838001" target="_blank"&gt;Public Record Only&lt;/a&gt;</t>
  </si>
  <si>
    <t>&lt;a href="http://a836-acris.nyc.gov/DS/DocumentSearch/DocumentDetail?doc_id=2015110201296001" target="_blank"&gt;Public Record Only&lt;/a&gt;</t>
  </si>
  <si>
    <t>&lt;a href="http://a836-acris.nyc.gov/DS/DocumentSearch/DocumentDetail?doc_id=2016011400960001" target="_blank"&gt;Public Record Only&lt;/a&gt;</t>
  </si>
  <si>
    <t>&lt;a href="http://a836-acris.nyc.gov/DS/DocumentSearch/DocumentDetail?doc_id=2015121101006001" target="_blank"&gt;Public Record Only&lt;/a&gt;</t>
  </si>
  <si>
    <t>&lt;a href="http://a836-acris.nyc.gov/DS/DocumentSearch/DocumentDetail?doc_id=2015110600094003" target="_blank"&gt;Public Record Only&lt;/a&gt;</t>
  </si>
  <si>
    <t>&lt;a href="http://a836-acris.nyc.gov/DS/DocumentSearch/DocumentDetail?doc_id=2015111600664001" target="_blank"&gt;Public Record Only&lt;/a&gt;</t>
  </si>
  <si>
    <t>&lt;a href="http://a836-acris.nyc.gov/DS/DocumentSearch/DocumentDetail?doc_id=2015112500518001" target="_blank"&gt;Public Record Only&lt;/a&gt;</t>
  </si>
  <si>
    <t>&lt;a href="http://a836-acris.nyc.gov/DS/DocumentSearch/DocumentDetail?doc_id=2015110600107004" target="_blank"&gt;Public Record Only&lt;/a&gt;</t>
  </si>
  <si>
    <t>&lt;a href="http://a836-acris.nyc.gov/DS/DocumentSearch/DocumentDetail?doc_id=2015121400722001" target="_blank"&gt;Public Record Only&lt;/a&gt;</t>
  </si>
  <si>
    <t>&lt;a href="http://a836-acris.nyc.gov/DS/DocumentSearch/DocumentDetail?doc_id=2016010800599001" target="_blank"&gt;Public Record Only&lt;/a&gt;</t>
  </si>
  <si>
    <t>&lt;a href="http://a836-acris.nyc.gov/DS/DocumentSearch/DocumentDetail?doc_id=2015112400805001" target="_blank"&gt;Public Record Only&lt;/a&gt;</t>
  </si>
  <si>
    <t>&lt;a href="http://a836-acris.nyc.gov/DS/DocumentSearch/DocumentDetail?doc_id=2015112400038001" target="_blank"&gt;Public Record Only&lt;/a&gt;</t>
  </si>
  <si>
    <t>&lt;a href="http://a836-acris.nyc.gov/DS/DocumentSearch/DocumentDetail?doc_id=2015121100790002" target="_blank"&gt;Public Record Only&lt;/a&gt;</t>
  </si>
  <si>
    <t>&lt;a href="http://a836-acris.nyc.gov/DS/DocumentSearch/DocumentDetail?doc_id=2015110600941002" target="_blank"&gt;Public Record Only&lt;/a&gt;</t>
  </si>
  <si>
    <t>&lt;a href="http://a836-acris.nyc.gov/DS/DocumentSearch/DocumentDetail?doc_id=2015102001109001" target="_blank"&gt;Public Record Only&lt;/a&gt;</t>
  </si>
  <si>
    <t>&lt;a href="http://a836-acris.nyc.gov/DS/DocumentSearch/DocumentDetail?doc_id=2015103001297001" target="_blank"&gt;Public Record Only&lt;/a&gt;</t>
  </si>
  <si>
    <t>&lt;a href="http://a836-acris.nyc.gov/DS/DocumentSearch/DocumentDetail?doc_id=2015110201473003" target="_blank"&gt;Public Record Only&lt;/a&gt;</t>
  </si>
  <si>
    <t>&lt;a href="http://a836-acris.nyc.gov/DS/DocumentSearch/DocumentDetail?doc_id=2005062102109001" target="_blank"&gt;Public Record Only&lt;/a&gt;</t>
  </si>
  <si>
    <t>&lt;a href="http://a836-acris.nyc.gov/DS/DocumentSearch/DocumentDetail?doc_id=2014091801263001" target="_blank"&gt;Public Record Only&lt;/a&gt;</t>
  </si>
  <si>
    <t>&lt;a href="http://a836-acris.nyc.gov/DS/DocumentSearch/DocumentDetail?doc_id=2015060401106001" target="_blank"&gt;Public Record Only&lt;/a&gt;</t>
  </si>
  <si>
    <t>&lt;a href="http://a836-acris.nyc.gov/DS/DocumentSearch/DocumentDetail?doc_id=2016021201804001" target="_blank"&gt;Public Record Only&lt;/a&gt;</t>
  </si>
  <si>
    <t>&lt;a href="http://a836-acris.nyc.gov/DS/DocumentSearch/DocumentDetail?doc_id=2015111900913001" target="_blank"&gt;Public Record Only&lt;/a&gt;</t>
  </si>
  <si>
    <t>&lt;a href="http://a836-acris.nyc.gov/DS/DocumentSearch/DocumentDetail?doc_id=2017030200943001" target="_blank"&gt;Public Record Only&lt;/a&gt;</t>
  </si>
  <si>
    <t>&lt;a href="http://a836-acris.nyc.gov/DS/DocumentSearch/DocumentDetail?doc_id=2016090801139001" target="_blank"&gt;Public Record Only&lt;/a&gt;</t>
  </si>
  <si>
    <t>&lt;a href="http://a836-acris.nyc.gov/DS/DocumentSearch/DocumentDetail?doc_id=2016062300794005" target="_blank"&gt;Public Record Only&lt;/a&gt;</t>
  </si>
  <si>
    <t>&lt;a href="http://a836-acris.nyc.gov/DS/DocumentSearch/DocumentDetail?doc_id=2016060800133001" target="_blank"&gt;Public Record Only&lt;/a&gt;</t>
  </si>
  <si>
    <t>&lt;a href="http://a836-acris.nyc.gov/DS/DocumentSearch/DocumentDetail?doc_id=2017052501526001" target="_blank"&gt;Public Record Only&lt;/a&gt;</t>
  </si>
  <si>
    <t>&lt;a href="http://a836-acris.nyc.gov/DS/DocumentSearch/DocumentDetail?doc_id=2016072700921002" target="_blank"&gt;Public Record Only&lt;/a&gt;</t>
  </si>
  <si>
    <t>&lt;a href="http://a836-acris.nyc.gov/DS/DocumentSearch/DocumentDetail?doc_id=2017051900129001" target="_blank"&gt;Public Record Only&lt;/a&gt;</t>
  </si>
  <si>
    <t>&lt;a href="http://a836-acris.nyc.gov/DS/DocumentSearch/DocumentDetail?doc_id=2016080200630001" target="_blank"&gt;Public Record Only&lt;/a&gt;</t>
  </si>
  <si>
    <t>&lt;a href="http://a836-acris.nyc.gov/DS/DocumentSearch/DocumentDetail?doc_id=2016082901103001" target="_blank"&gt;Public Record Only&lt;/a&gt;</t>
  </si>
  <si>
    <t>&lt;a href="http://a836-acris.nyc.gov/DS/DocumentSearch/DocumentDetail?doc_id=2016090100812002" target="_blank"&gt;Public Record Only&lt;/a&gt;</t>
  </si>
  <si>
    <t>&lt;a href="http://a836-acris.nyc.gov/DS/DocumentSearch/DocumentDetail?doc_id=2017040400181001" target="_blank"&gt;Public Record Only&lt;/a&gt;</t>
  </si>
  <si>
    <t>&lt;a href="http://a836-acris.nyc.gov/DS/DocumentSearch/DocumentDetail?doc_id=2016062300060001" target="_blank"&gt;Public Record Only&lt;/a&gt;</t>
  </si>
  <si>
    <t>&lt;a href="http://a836-acris.nyc.gov/DS/DocumentSearch/DocumentDetail?doc_id=2016122000591001" target="_blank"&gt;Public Record Only&lt;/a&gt;</t>
  </si>
  <si>
    <t>&lt;a href="http://a836-acris.nyc.gov/DS/DocumentSearch/DocumentDetail?doc_id=2016083100661001" target="_blank"&gt;Public Record Only&lt;/a&gt;</t>
  </si>
  <si>
    <t>&lt;a href="http://a836-acris.nyc.gov/DS/DocumentSearch/DocumentDetail?doc_id=2016090500017001" target="_blank"&gt;Public Record Only&lt;/a&gt;</t>
  </si>
  <si>
    <t>&lt;a href="http://a836-acris.nyc.gov/DS/DocumentSearch/DocumentDetail?doc_id=2016081201115001" target="_blank"&gt;Public Record Only&lt;/a&gt;</t>
  </si>
  <si>
    <t>&lt;a href="http://a836-acris.nyc.gov/DS/DocumentSearch/DocumentDetail?doc_id=2017042700130001" target="_blank"&gt;Public Record Only&lt;/a&gt;</t>
  </si>
  <si>
    <t>&lt;a href="http://a836-acris.nyc.gov/DS/DocumentSearch/DocumentDetail?doc_id=2016072100448001" target="_blank"&gt;Public Record Only&lt;/a&gt;</t>
  </si>
  <si>
    <t>&lt;a href="http://a836-acris.nyc.gov/DS/DocumentSearch/DocumentDetail?doc_id=2016080100113006" target="_blank"&gt;Public Record Only&lt;/a&gt;</t>
  </si>
  <si>
    <t>&lt;a href="http://a836-acris.nyc.gov/DS/DocumentSearch/DocumentDetail?doc_id=2016053100906001" target="_blank"&gt;Public Record Only&lt;/a&gt;</t>
  </si>
  <si>
    <t>&lt;a href="http://a836-acris.nyc.gov/DS/DocumentSearch/DocumentDetail?doc_id=2016072100774002" target="_blank"&gt;Public Record Only&lt;/a&gt;</t>
  </si>
  <si>
    <t>&lt;a href="http://a836-acris.nyc.gov/DS/DocumentSearch/DocumentDetail?doc_id=2017011900729001" target="_blank"&gt;Public Record Only&lt;/a&gt;</t>
  </si>
  <si>
    <t>&lt;a href="http://a836-acris.nyc.gov/DS/DocumentSearch/DocumentDetail?doc_id=2016081601607001" target="_blank"&gt;Public Record Only&lt;/a&gt;</t>
  </si>
  <si>
    <t>&lt;a href="http://a836-acris.nyc.gov/DS/DocumentSearch/DocumentDetail?doc_id=2016081600795001" target="_blank"&gt;Public Record Only&lt;/a&gt;</t>
  </si>
  <si>
    <t>&lt;a href="http://a836-acris.nyc.gov/DS/DocumentSearch/DocumentDetail?doc_id=2017042400121002" target="_blank"&gt;Public Record Only&lt;/a&gt;</t>
  </si>
  <si>
    <t>&lt;a href="http://a836-acris.nyc.gov/DS/DocumentSearch/DocumentDetail?doc_id=2016080200233001" target="_blank"&gt;Public Record Only&lt;/a&gt;</t>
  </si>
  <si>
    <t>&lt;a href="http://a836-acris.nyc.gov/DS/DocumentSearch/DocumentDetail?doc_id=2016061500031004" target="_blank"&gt;Public Record Only&lt;/a&gt;</t>
  </si>
  <si>
    <t>&lt;a href="http://a836-acris.nyc.gov/DS/DocumentSearch/DocumentDetail?doc_id=2016121601042001" target="_blank"&gt;Public Record Only&lt;/a&gt;</t>
  </si>
  <si>
    <t>&lt;a href="http://a836-acris.nyc.gov/DS/DocumentSearch/DocumentDetail?doc_id=2017033000611001" target="_blank"&gt;Public Record Only&lt;/a&gt;</t>
  </si>
  <si>
    <t>&lt;a href="http://a836-acris.nyc.gov/DS/DocumentSearch/DocumentDetail?doc_id=2017051500293001" target="_blank"&gt;Public Record Only&lt;/a&gt;</t>
  </si>
  <si>
    <t>&lt;a href="http://a836-acris.nyc.gov/DS/DocumentSearch/DocumentDetail?doc_id=2017031700430001" target="_blank"&gt;Public Record Only&lt;/a&gt;</t>
  </si>
  <si>
    <t>&lt;a href="http://a836-acris.nyc.gov/DS/DocumentSearch/DocumentDetail?doc_id=2016083000761001" target="_blank"&gt;Public Record Only&lt;/a&gt;</t>
  </si>
  <si>
    <t>&lt;a href="http://a836-acris.nyc.gov/DS/DocumentSearch/DocumentDetail?doc_id=2017021300701001" target="_blank"&gt;Public Record Only&lt;/a&gt;</t>
  </si>
  <si>
    <t>&lt;a href="http://a836-acris.nyc.gov/DS/DocumentSearch/DocumentDetail?doc_id=2016081100990001" target="_blank"&gt;Public Record Only&lt;/a&gt;</t>
  </si>
  <si>
    <t>&lt;a href="http://a836-acris.nyc.gov/DS/DocumentSearch/DocumentDetail?doc_id=2016072400047002" target="_blank"&gt;Public Record Only&lt;/a&gt;</t>
  </si>
  <si>
    <t>&lt;a href="http://a836-acris.nyc.gov/DS/DocumentSearch/DocumentDetail?doc_id=2016102700019002" target="_blank"&gt;Public Record Only&lt;/a&gt;</t>
  </si>
  <si>
    <t>&lt;a href="http://a836-acris.nyc.gov/DS/DocumentSearch/DocumentDetail?doc_id=2016061402296001" target="_blank"&gt;Public Record Only&lt;/a&gt;</t>
  </si>
  <si>
    <t>&lt;a href="http://a836-acris.nyc.gov/DS/DocumentSearch/DocumentDetail?doc_id=2016082600365001" target="_blank"&gt;Public Record Only&lt;/a&gt;</t>
  </si>
  <si>
    <t>&lt;a href="http://a836-acris.nyc.gov/DS/DocumentSearch/DocumentDetail?doc_id=2017080100123002" target="_blank"&gt;Public Record Only&lt;/a&gt;</t>
  </si>
  <si>
    <t>&lt;a href="http://a836-acris.nyc.gov/DS/DocumentSearch/DocumentDetail?doc_id=2017071200639001" target="_blank"&gt;Public Record Only&lt;/a&gt;</t>
  </si>
  <si>
    <t>&lt;a href="http://a836-acris.nyc.gov/DS/DocumentSearch/DocumentDetail?doc_id=2016100401208001" target="_blank"&gt;Public Record Only&lt;/a&gt;</t>
  </si>
  <si>
    <t>&lt;a href="http://a836-acris.nyc.gov/DS/DocumentSearch/DocumentDetail?doc_id=2015122700073001" target="_blank"&gt;Public Record Only&lt;/a&gt;</t>
  </si>
  <si>
    <t>&lt;a href="http://a836-acris.nyc.gov/DS/DocumentSearch/DocumentDetail?doc_id=2016010700760001" target="_blank"&gt;Public Record Only&lt;/a&gt;</t>
  </si>
  <si>
    <t>&lt;a href="http://a836-acris.nyc.gov/DS/DocumentSearch/DocumentDetail?doc_id=2017062900487001" target="_blank"&gt;Public Record Only&lt;/a&gt;</t>
  </si>
  <si>
    <t>&lt;a href="http://a836-acris.nyc.gov/DS/DocumentSearch/DocumentDetail?doc_id=2016041300702001" target="_blank"&gt;Public Record Only&lt;/a&gt;</t>
  </si>
  <si>
    <t>&lt;a href="http://a836-acris.nyc.gov/DS/DocumentSearch/DocumentDetail?doc_id=2016082600854002" target="_blank"&gt;Public Record Only&lt;/a&gt;</t>
  </si>
  <si>
    <t>&lt;a href="http://a836-acris.nyc.gov/DS/DocumentSearch/DocumentDetail?doc_id=2016020801921001" target="_blank"&gt;Public Record Only&lt;/a&gt;</t>
  </si>
  <si>
    <t>&lt;a href="http://a836-acris.nyc.gov/DS/DocumentSearch/DocumentDetail?doc_id=2016022601139001" target="_blank"&gt;Verified by Public Record&lt;/a&gt;</t>
  </si>
  <si>
    <t>&lt;a href="http://a836-acris.nyc.gov/DS/DocumentSearch/DocumentDetail?doc_id=2017040500504002" target="_blank"&gt;Public Record Only&lt;/a&gt;</t>
  </si>
  <si>
    <t>&lt;a href="http://a836-acris.nyc.gov/DS/DocumentSearch/DocumentDetail?doc_id=2016021601203001" target="_blank"&gt;Public Record Only&lt;/a&gt;</t>
  </si>
  <si>
    <t>Private Wrap Around Terrace
Roof Deck
Common Roof Deck
Common Garden
Common Outdoor Space
Private Outdoor Space</t>
  </si>
  <si>
    <t>&lt;a href="http://a836-acris.nyc.gov/DS/DocumentSearch/DocumentDetail?doc_id=2019061100079001" target="_blank"&gt;Verified by Public Record&lt;/a&gt;</t>
  </si>
  <si>
    <t>&lt;a href="http://a836-acris.nyc.gov/DS/DocumentSearch/DocumentDetail?doc_id=2018071200470001" target="_blank"&gt;Public Record Only&lt;/a&gt;</t>
  </si>
  <si>
    <t>&lt;a href="http://a836-acris.nyc.gov/DS/DocumentSearch/DocumentDetail?doc_id=2020030901314001" target="_blank"&gt;Verified by Public Record&lt;/a&gt;</t>
  </si>
  <si>
    <t>&lt;a href="http://a836-acris.nyc.gov/DS/DocumentSearch/DocumentDetail?doc_id=2019081300143001" target="_blank"&gt;Public Record Only&lt;/a&gt;</t>
  </si>
  <si>
    <t>Greenwich Village</t>
  </si>
  <si>
    <t>&lt;a href="http://a836-acris.nyc.gov/DS/DocumentSearch/DocumentDetail?doc_id=2019070100190002" target="_blank"&gt;Public Record Only&lt;/a&gt;</t>
  </si>
  <si>
    <t>&lt;a href="http://a836-acris.nyc.gov/DS/DocumentSearch/DocumentDetail?doc_id=2019082000185004" target="_blank"&gt;Public Record Only&lt;/a&gt;</t>
  </si>
  <si>
    <t>&lt;a href="http://a836-acris.nyc.gov/DS/DocumentSearch/DocumentDetail?doc_id=2019082300081001" target="_blank"&gt;Public Record Only&lt;/a&gt;</t>
  </si>
  <si>
    <t>&lt;a href="http://a836-acris.nyc.gov/DS/DocumentSearch/DocumentDetail?doc_id=2019101000757001" target="_blank"&gt;Public Record Only&lt;/a&gt;</t>
  </si>
  <si>
    <t>&lt;a href="http://a836-acris.nyc.gov/DS/DocumentSearch/DocumentDetail?doc_id=2019092601052001" target="_blank"&gt;Public Record Only&lt;/a&gt;</t>
  </si>
  <si>
    <t>&lt;a href="http://a836-acris.nyc.gov/DS/DocumentSearch/DocumentDetail?doc_id=2019102400106009" target="_blank"&gt;Public Record Only&lt;/a&gt;</t>
  </si>
  <si>
    <t>&lt;a href="http://a836-acris.nyc.gov/DS/DocumentSearch/DocumentDetail?doc_id=2016111500475002" target="_blank"&gt;Public Record Only&lt;/a&gt;</t>
  </si>
  <si>
    <t>&lt;a href="http://a836-acris.nyc.gov/DS/DocumentSearch/DocumentDetail?doc_id=2019011601071001" target="_blank"&gt;Public Record Only&lt;/a&gt;</t>
  </si>
  <si>
    <t>&lt;a href="http://a836-acris.nyc.gov/DS/DocumentSearch/DocumentDetail?doc_id=2019012400342003" target="_blank"&gt;Public Record Only&lt;/a&gt;</t>
  </si>
  <si>
    <t>&lt;a href="http://a836-acris.nyc.gov/DS/DocumentSearch/DocumentDetail?doc_id=2019070800491006" target="_blank"&gt;Public Record Only&lt;/a&gt;</t>
  </si>
  <si>
    <t>&lt;a href="http://a836-acris.nyc.gov/DS/DocumentSearch/DocumentDetail?doc_id=2019061100031001" target="_blank"&gt;Public Record Only&lt;/a&gt;</t>
  </si>
  <si>
    <t>&lt;a href="http://a836-acris.nyc.gov/DS/DocumentSearch/DocumentDetail?doc_id=2016030400711001" target="_blank"&gt;Public Record Only&lt;/a&gt;</t>
  </si>
  <si>
    <t>&lt;a href="http://a836-acris.nyc.gov/DS/DocumentSearch/DocumentDetail?doc_id=2016040400910003" target="_blank"&gt;Public Record Only&lt;/a&gt;</t>
  </si>
  <si>
    <t>&lt;a href="http://a836-acris.nyc.gov/DS/DocumentSearch/DocumentDetail?doc_id=2016020400003001" target="_blank"&gt;Public Record Only&lt;/a&gt;</t>
  </si>
  <si>
    <t>&lt;a href="http://a836-acris.nyc.gov/DS/DocumentSearch/DocumentDetail?doc_id=2016050600409001" target="_blank"&gt;Public Record Only&lt;/a&gt;</t>
  </si>
  <si>
    <t>&lt;a href="http://a836-acris.nyc.gov/DS/DocumentSearch/DocumentDetail?doc_id=2015060401106002" target="_blank"&gt;Public Record Only&lt;/a&gt;</t>
  </si>
  <si>
    <t>&lt;a href="http://a836-acris.nyc.gov/DS/DocumentSearch/DocumentDetail?doc_id=2017061400061001" target="_blank"&gt;Public Record Only&lt;/a&gt;</t>
  </si>
  <si>
    <t>&lt;a href="http://a836-acris.nyc.gov/DS/DocumentSearch/DocumentDetail?doc_id=2016083000956001" target="_blank"&gt;Public Record Only&lt;/a&gt;</t>
  </si>
  <si>
    <t>&lt;a href="http://a836-acris.nyc.gov/DS/DocumentSearch/DocumentDetail?doc_id=2016072100901001" target="_blank"&gt;Public Record Only&lt;/a&gt;</t>
  </si>
  <si>
    <t>&lt;a href="http://a836-acris.nyc.gov/DS/DocumentSearch/DocumentDetail?doc_id=2019112000041003" target="_blank"&gt;Public Record Only&lt;/a&gt;</t>
  </si>
  <si>
    <t>&lt;a href="http://a836-acris.nyc.gov/DS/DocumentSearch/DocumentDetail?doc_id=2019112600498002" target="_blank"&gt;Public Record Only&lt;/a&gt;</t>
  </si>
  <si>
    <t>&lt;a href="http://a836-acris.nyc.gov/DS/DocumentSearch/DocumentDetail?doc_id=2019102401036001" target="_blank"&gt;Public Record Only&lt;/a&gt;</t>
  </si>
  <si>
    <t>&lt;a href="http://a836-acris.nyc.gov/DS/DocumentSearch/DocumentDetail?doc_id=2019121600690005" target="_blank"&gt;Public Record Only&lt;/a&gt;</t>
  </si>
  <si>
    <t>&lt;a href="http://a836-acris.nyc.gov/DS/DocumentSearch/DocumentDetail?doc_id=2019121300569001" target="_blank"&gt;Public Record Only&lt;/a&gt;</t>
  </si>
  <si>
    <t>&lt;a href="http://a836-acris.nyc.gov/DS/DocumentSearch/DocumentDetail?doc_id=2019123001355001" target="_blank"&gt;Public Record Only&lt;/a&gt;</t>
  </si>
  <si>
    <t>&lt;a href="http://a836-acris.nyc.gov/DS/DocumentSearch/DocumentDetail?doc_id=2019123100569001" target="_blank"&gt;Public Record Only&lt;/a&gt;</t>
  </si>
  <si>
    <t>&lt;a href="http://a836-acris.nyc.gov/DS/DocumentSearch/DocumentDetail?doc_id=2019112600595002" target="_blank"&gt;Public Record Only&lt;/a&gt;</t>
  </si>
  <si>
    <t>&lt;a href="http://a836-acris.nyc.gov/DS/DocumentSearch/DocumentDetail?doc_id=2019112700983001" target="_blank"&gt;Public Record Only&lt;/a&gt;</t>
  </si>
  <si>
    <t>&lt;a href="http://a836-acris.nyc.gov/DS/DocumentSearch/DocumentDetail?doc_id=2019101700403001" target="_blank"&gt;Public Record Only&lt;/a&gt;</t>
  </si>
  <si>
    <t>&lt;a href="http://a836-acris.nyc.gov/DS/DocumentSearch/DocumentDetail?doc_id=2019111300908002" target="_blank"&gt;Public Record Only&lt;/a&gt;</t>
  </si>
  <si>
    <t>&lt;a href="http://a836-acris.nyc.gov/DS/DocumentSearch/DocumentDetail?doc_id=2019100900712001" target="_blank"&gt;Public Record Only&lt;/a&gt;</t>
  </si>
  <si>
    <t>&lt;a href="http://a836-acris.nyc.gov/DS/DocumentSearch/DocumentDetail?doc_id=2020010300513001" target="_blank"&gt;Public Record Only&lt;/a&gt;</t>
  </si>
  <si>
    <t>&lt;a href="http://a836-acris.nyc.gov/DS/DocumentSearch/DocumentDetail?doc_id=2020010900963001" target="_blank"&gt;Public Record Only&lt;/a&gt;</t>
  </si>
  <si>
    <t>&lt;a href="http://a836-acris.nyc.gov/DS/DocumentSearch/DocumentDetail?doc_id=2020011300464001" target="_blank"&gt;Public Record Only&lt;/a&gt;</t>
  </si>
  <si>
    <t>&lt;a href="http://a836-acris.nyc.gov/DS/DocumentSearch/DocumentDetail?doc_id=2020012701130001" target="_blank"&gt;Public Record Only&lt;/a&gt;</t>
  </si>
  <si>
    <t>&lt;a href="http://a836-acris.nyc.gov/DS/DocumentSearch/DocumentDetail?doc_id=2020010801431003" target="_blank"&gt;Public Record Only&lt;/a&gt;</t>
  </si>
  <si>
    <t>&lt;a href="http://a836-acris.nyc.gov/DS/DocumentSearch/DocumentDetail?doc_id=2020010700282002" target="_blank"&gt;Public Record Only&lt;/a&gt;</t>
  </si>
  <si>
    <t>&lt;a href="http://a836-acris.nyc.gov/DS/DocumentSearch/DocumentDetail?doc_id=2020010300114001" target="_blank"&gt;Public Record Only&lt;/a&gt;</t>
  </si>
  <si>
    <t>&lt;a href="http://a836-acris.nyc.gov/DS/DocumentSearch/DocumentDetail?doc_id=2020012900298001" target="_blank"&gt;Public Record Only&lt;/a&gt;</t>
  </si>
  <si>
    <t>&lt;a href="http://a836-acris.nyc.gov/DS/DocumentSearch/DocumentDetail?doc_id=2020012800911001" target="_blank"&gt;Public Record Only&lt;/a&gt;</t>
  </si>
  <si>
    <t>&lt;a href="http://a836-acris.nyc.gov/DS/DocumentSearch/DocumentDetail?doc_id=2020020400239001" target="_blank"&gt;Public Record Only&lt;/a&gt;</t>
  </si>
  <si>
    <t>&lt;a href="http://a836-acris.nyc.gov/DS/DocumentSearch/DocumentDetail?doc_id=2020020400551001" target="_blank"&gt;Public Record Only&lt;/a&gt;</t>
  </si>
  <si>
    <t>&lt;a href="http://a836-acris.nyc.gov/DS/DocumentSearch/DocumentDetail?doc_id=2016082301180001" target="_blank"&gt;Public Record Only&lt;/a&gt;</t>
  </si>
  <si>
    <t>&lt;a href="http://a836-acris.nyc.gov/DS/DocumentSearch/DocumentDetail?doc_id=2020010300481001" target="_blank"&gt;Public Record Only&lt;/a&gt;</t>
  </si>
  <si>
    <t>&lt;a href="http://a836-acris.nyc.gov/DS/DocumentSearch/DocumentDetail?doc_id=2018080200052002" target="_blank"&gt;Public Record Only&lt;/a&gt;</t>
  </si>
  <si>
    <t>&lt;a href="http://a836-acris.nyc.gov/DS/DocumentSearch/DocumentDetail?doc_id=2020030200715001" target="_blank"&gt;Public Record Only&lt;/a&gt;</t>
  </si>
  <si>
    <t>&lt;a href="http://a836-acris.nyc.gov/DS/DocumentSearch/DocumentDetail?doc_id=2020031000954002" target="_blank"&gt;Public Record Only&lt;/a&gt;</t>
  </si>
  <si>
    <t>&lt;a href="http://a836-acris.nyc.gov/DS/DocumentSearch/DocumentDetail?doc_id=2020030300661001" target="_blank"&gt;Public Record Only&lt;/a&gt;</t>
  </si>
  <si>
    <t>&lt;a href="http://a836-acris.nyc.gov/DS/DocumentSearch/DocumentDetail?doc_id=2020031100399001" target="_blank"&gt;Public Record Only&lt;/a&gt;</t>
  </si>
  <si>
    <t>&lt;a href="http://a836-acris.nyc.gov/DS/DocumentSearch/DocumentDetail?doc_id=2020031300294002" target="_blank"&gt;Public Record Only&lt;/a&gt;</t>
  </si>
  <si>
    <t>&lt;a href="http://a836-acris.nyc.gov/DS/DocumentSearch/DocumentDetail?doc_id=2020031301015002" target="_blank"&gt;Public Record Only&lt;/a&gt;</t>
  </si>
  <si>
    <t>&lt;a href="http://a836-acris.nyc.gov/DS/DocumentSearch/DocumentDetail?doc_id=2020031800145001" target="_blank"&gt;Public Record Only&lt;/a&gt;</t>
  </si>
  <si>
    <t>&lt;a href="http://a836-acris.nyc.gov/DS/DocumentSearch/DocumentDetail?doc_id=2020031200005002" target="_blank"&gt;Public Record Only&lt;/a&gt;</t>
  </si>
  <si>
    <t>&lt;a href="http://a836-acris.nyc.gov/DS/DocumentSearch/DocumentDetail?doc_id=2020032600642003" target="_blank"&gt;Public Record Only&lt;/a&gt;</t>
  </si>
  <si>
    <t>&lt;a href="http://a836-acris.nyc.gov/DS/DocumentSearch/DocumentDetail?doc_id=2020032700286002" target="_blank"&gt;Public Record Only&lt;/a&gt;</t>
  </si>
  <si>
    <t>&lt;a href="http://a836-acris.nyc.gov/DS/DocumentSearch/DocumentDetail?doc_id=2020033000606004" target="_blank"&gt;Public Record Only&lt;/a&gt;</t>
  </si>
  <si>
    <t>&lt;a href="http://a836-acris.nyc.gov/DS/DocumentSearch/DocumentDetail?doc_id=2020032600354002" target="_blank"&gt;Public Record Only&lt;/a&gt;</t>
  </si>
  <si>
    <t>&lt;a href="http://a836-acris.nyc.gov/DS/DocumentSearch/DocumentDetail?doc_id=2020040800757001" target="_blank"&gt;Public Record Only&lt;/a&gt;</t>
  </si>
  <si>
    <t>&lt;a href="http://a836-acris.nyc.gov/DS/DocumentSearch/DocumentDetail?doc_id=2020040800744001" target="_blank"&gt;Public Record Only&lt;/a&gt;</t>
  </si>
  <si>
    <t>&lt;a href="http://a836-acris.nyc.gov/DS/DocumentSearch/DocumentDetail?doc_id=2020040800753001" target="_blank"&gt;Public Record Only&lt;/a&gt;</t>
  </si>
  <si>
    <t>&lt;a href="http://a836-acris.nyc.gov/DS/DocumentSearch/DocumentDetail?doc_id=2020040800364002" target="_blank"&gt;Public Record Only&lt;/a&gt;</t>
  </si>
  <si>
    <t>&lt;a href="http://a836-acris.nyc.gov/DS/DocumentSearch/DocumentDetail?doc_id=2020040900050002" target="_blank"&gt;Public Record Only&lt;/a&gt;</t>
  </si>
  <si>
    <t>&lt;a href="http://a836-acris.nyc.gov/DS/DocumentSearch/DocumentDetail?doc_id=2020040800136001" target="_blank"&gt;Public Record Only&lt;/a&gt;</t>
  </si>
  <si>
    <t>&lt;a href="http://a836-acris.nyc.gov/DS/DocumentSearch/DocumentDetail?doc_id=2020040800207002" target="_blank"&gt;Public Record Only&lt;/a&gt;</t>
  </si>
  <si>
    <t>&lt;a href="http://a836-acris.nyc.gov/DS/DocumentSearch/DocumentDetail?doc_id=2020042100572002" target="_blank"&gt;Public Record Only&lt;/a&gt;</t>
  </si>
  <si>
    <t>&lt;a href="http://a836-acris.nyc.gov/DS/DocumentSearch/DocumentDetail?doc_id=2020042300233002" target="_blank"&gt;Public Record Only&lt;/a&gt;</t>
  </si>
  <si>
    <t>&lt;a href="http://a836-acris.nyc.gov/DS/DocumentSearch/DocumentDetail?doc_id=2020041000080002" target="_blank"&gt;Public Record Only&lt;/a&gt;</t>
  </si>
  <si>
    <t>&lt;a href="http://a836-acris.nyc.gov/DS/DocumentSearch/DocumentDetail?doc_id=2020050100719002" target="_blank"&gt;Public Record Only&lt;/a&gt;</t>
  </si>
  <si>
    <t>&lt;a href="http://a836-acris.nyc.gov/DS/DocumentSearch/DocumentDetail?doc_id=2020051200160003" target="_blank"&gt;Public Record Only&lt;/a&gt;</t>
  </si>
  <si>
    <t>&lt;a href="http://a836-acris.nyc.gov/DS/DocumentSearch/DocumentDetail?doc_id=2020052200383001" target="_blank"&gt;Public Record Only&lt;/a&gt;</t>
  </si>
  <si>
    <t>&lt;a href="http://a836-acris.nyc.gov/DS/DocumentSearch/DocumentDetail?doc_id=2020052200569002" target="_blank"&gt;Public Record Only&lt;/a&gt;</t>
  </si>
  <si>
    <t>&lt;a href="http://a836-acris.nyc.gov/DS/DocumentSearch/DocumentDetail?doc_id=2020060100923001" target="_blank"&gt;Public Record Only&lt;/a&gt;</t>
  </si>
  <si>
    <t>&lt;a href="http://a836-acris.nyc.gov/DS/DocumentSearch/DocumentDetail?doc_id=2020060200797002" target="_blank"&gt;Public Record Only&lt;/a&gt;</t>
  </si>
  <si>
    <t>&lt;a href="http://a836-acris.nyc.gov/DS/DocumentSearch/DocumentDetail?doc_id=2020060400946003" target="_blank"&gt;Public Record Only&lt;/a&gt;</t>
  </si>
  <si>
    <t>&lt;a href="http://a836-acris.nyc.gov/DS/DocumentSearch/DocumentDetail?doc_id=2020060800504003" target="_blank"&gt;Public Record Only&lt;/a&gt;</t>
  </si>
  <si>
    <t>&lt;a href="http://a836-acris.nyc.gov/DS/DocumentSearch/DocumentDetail?doc_id=2020061000152003" target="_blank"&gt;Public Record Only&lt;/a&gt;</t>
  </si>
  <si>
    <t>&lt;a href="http://a836-acris.nyc.gov/DS/DocumentSearch/DocumentDetail?doc_id=2020060900496003" target="_blank"&gt;Public Record Only&lt;/a&gt;</t>
  </si>
  <si>
    <t>&lt;a href="http://a836-acris.nyc.gov/DS/DocumentSearch/DocumentDetail?doc_id=2020060900689001" target="_blank"&gt;Public Record Only&lt;/a&gt;</t>
  </si>
  <si>
    <t>&lt;a href="http://a836-acris.nyc.gov/DS/DocumentSearch/DocumentDetail?doc_id=2020061700170002" target="_blank"&gt;Public Record Only&lt;/a&gt;</t>
  </si>
  <si>
    <t>&lt;a href="http://a836-acris.nyc.gov/DS/DocumentSearch/DocumentDetail?doc_id=2020061200390002" target="_blank"&gt;Public Record Only&lt;/a&gt;</t>
  </si>
  <si>
    <t>&lt;a href="http://a836-acris.nyc.gov/DS/DocumentSearch/DocumentDetail?doc_id=2020061700507002" target="_blank"&gt;Public Record Only&lt;/a&gt;</t>
  </si>
  <si>
    <t>&lt;a href="http://a836-acris.nyc.gov/DS/DocumentSearch/DocumentDetail?doc_id=2020050800093002" target="_blank"&gt;Public Record Only&lt;/a&gt;</t>
  </si>
  <si>
    <t>&lt;a href="http://a836-acris.nyc.gov/DS/DocumentSearch/DocumentDetail?doc_id=2020061200287002" target="_blank"&gt;Public Record Only&lt;/a&gt;</t>
  </si>
  <si>
    <t>&lt;a href="http://a836-acris.nyc.gov/DS/DocumentSearch/DocumentDetail?doc_id=2020061800271003" target="_blank"&gt;Public Record Only&lt;/a&gt;</t>
  </si>
  <si>
    <t>&lt;a href="http://a836-acris.nyc.gov/DS/DocumentSearch/DocumentDetail?doc_id=2004071600978002" target="_blank"&gt;Public Record Only&lt;/a&gt;</t>
  </si>
  <si>
    <t>&lt;a href="http://a836-acris.nyc.gov/DS/DocumentSearch/DocumentDetail?doc_id=2020061900501002" target="_blank"&gt;Public Record Only&lt;/a&gt;</t>
  </si>
  <si>
    <t>&lt;a href="http://a836-acris.nyc.gov/DS/DocumentSearch/DocumentDetail?doc_id=2020062200262003" target="_blank"&gt;Public Record Only&lt;/a&gt;</t>
  </si>
  <si>
    <t>&lt;a href="http://a836-acris.nyc.gov/DS/DocumentSearch/DocumentDetail?doc_id=2020062300690002" target="_blank"&gt;Public Record Only&lt;/a&gt;</t>
  </si>
  <si>
    <t>&lt;a href="http://a836-acris.nyc.gov/DS/DocumentSearch/DocumentDetail?doc_id=2020062400935001" target="_blank"&gt;Public Record Only&lt;/a&gt;</t>
  </si>
  <si>
    <t>&lt;a href="http://a836-acris.nyc.gov/DS/DocumentSearch/DocumentDetail?doc_id=2020061700235002" target="_blank"&gt;Public Record Only&lt;/a&gt;</t>
  </si>
  <si>
    <t>&lt;a href="http://a836-acris.nyc.gov/DS/DocumentSearch/DocumentDetail?doc_id=2020063000850001" target="_blank"&gt;Public Record Only&lt;/a&gt;</t>
  </si>
  <si>
    <t>&lt;a href="http://a836-acris.nyc.gov/DS/DocumentSearch/DocumentDetail?doc_id=2020070600320002" target="_blank"&gt;Public Record Only&lt;/a&gt;</t>
  </si>
  <si>
    <t>&lt;a href="http://a836-acris.nyc.gov/DS/DocumentSearch/DocumentDetail?doc_id=2020070600272002" target="_blank"&gt;Public Record Only&lt;/a&gt;</t>
  </si>
  <si>
    <t>&lt;a href="http://a836-acris.nyc.gov/DS/DocumentSearch/DocumentDetail?doc_id=2020070700671001" target="_blank"&gt;Public Record Only&lt;/a&gt;</t>
  </si>
  <si>
    <t>&lt;a href="http://a836-acris.nyc.gov/DS/DocumentSearch/DocumentDetail?doc_id=2020070200386002" target="_blank"&gt;Public Record Only&lt;/a&gt;</t>
  </si>
  <si>
    <t>&lt;a href="http://a836-acris.nyc.gov/DS/DocumentSearch/DocumentDetail?doc_id=2020070900581001" target="_blank"&gt;Public Record Only&lt;/a&gt;</t>
  </si>
  <si>
    <t>&lt;a href="http://a836-acris.nyc.gov/DS/DocumentSearch/DocumentDetail?doc_id=2020052600792002" target="_blank"&gt;Public Record Only&lt;/a&gt;</t>
  </si>
  <si>
    <t>&lt;a href="http://a836-acris.nyc.gov/DS/DocumentSearch/DocumentDetail?doc_id=2020071000829003" target="_blank"&gt;Public Record Only&lt;/a&gt;</t>
  </si>
  <si>
    <t>&lt;a href="http://a836-acris.nyc.gov/DS/DocumentSearch/DocumentDetail?doc_id=2020071401045002" target="_blank"&gt;Public Record Only&lt;/a&gt;</t>
  </si>
  <si>
    <t>&lt;a href="http://a836-acris.nyc.gov/DS/DocumentSearch/DocumentDetail?doc_id=2020041300399003" target="_blank"&gt;Public Record Only&lt;/a&gt;</t>
  </si>
  <si>
    <t>&lt;a href="http://a836-acris.nyc.gov/DS/DocumentSearch/DocumentDetail?doc_id=2020071500845003" target="_blank"&gt;Public Record Only&lt;/a&gt;</t>
  </si>
  <si>
    <t>&lt;a href="http://a836-acris.nyc.gov/DS/DocumentSearch/DocumentDetail?doc_id=2020071501017001" target="_blank"&gt;Verified by Public Record&lt;/a&gt;</t>
  </si>
  <si>
    <t>&lt;a href="http://a836-acris.nyc.gov/DS/DocumentSearch/DocumentDetail?doc_id=2020072000308003" target="_blank"&gt;Verified by Public Record&lt;/a&gt;</t>
  </si>
  <si>
    <t>&lt;a href="http://a836-acris.nyc.gov/DS/DocumentSearch/DocumentDetail?doc_id=2020071700255002" target="_blank"&gt;Public Record Only&lt;/a&gt;</t>
  </si>
  <si>
    <t>&lt;a href="http://a836-acris.nyc.gov/DS/DocumentSearch/DocumentDetail?doc_id=2017010300510001" target="_blank"&gt;Public Record Only&lt;/a&gt;</t>
  </si>
  <si>
    <t>&lt;a href="http://a836-acris.nyc.gov/DS/DocumentSearch/DocumentDetail?doc_id=2020072300213001" target="_blank"&gt;Public Record Only&lt;/a&gt;</t>
  </si>
  <si>
    <t>&lt;a href="http://a836-acris.nyc.gov/DS/DocumentSearch/DocumentDetail?doc_id=2020072300886001" target="_blank"&gt;Public Record Only&lt;/a&gt;</t>
  </si>
  <si>
    <t>&lt;a href="http://a836-acris.nyc.gov/DS/DocumentSearch/DocumentDetail?doc_id=2020072800289001" target="_blank"&gt;Public Record Only&lt;/a&gt;</t>
  </si>
  <si>
    <t>&lt;a href="http://a836-acris.nyc.gov/DS/DocumentSearch/DocumentDetail?doc_id=2020072801198002" target="_blank"&gt;Public Record Only&lt;/a&gt;</t>
  </si>
  <si>
    <t>&lt;a href="http://a836-acris.nyc.gov/DS/DocumentSearch/DocumentDetail?doc_id=2020073000218001" target="_blank"&gt;Public Record Only&lt;/a&gt;</t>
  </si>
  <si>
    <t>&lt;a href="http://a836-acris.nyc.gov/DS/DocumentSearch/DocumentDetail?doc_id=2020072900962001" target="_blank"&gt;Public Record Only&lt;/a&gt;</t>
  </si>
  <si>
    <t>&lt;a href="http://a836-acris.nyc.gov/DS/DocumentSearch/DocumentDetail?doc_id=2020080200030004" target="_blank"&gt;Public Record Only&lt;/a&gt;</t>
  </si>
  <si>
    <t>&lt;a href="http://a836-acris.nyc.gov/DS/DocumentSearch/DocumentDetail?doc_id=2020072901093006" target="_blank"&gt;Public Record Only&lt;/a&gt;</t>
  </si>
  <si>
    <t>&lt;a href="http://a836-acris.nyc.gov/DS/DocumentSearch/DocumentDetail?doc_id=2020080400096002" target="_blank"&gt;Public Record Only&lt;/a&gt;</t>
  </si>
  <si>
    <t>&lt;a href="http://a836-acris.nyc.gov/DS/DocumentSearch/DocumentDetail?doc_id=2020073100300003" target="_blank"&gt;Public Record Only&lt;/a&gt;</t>
  </si>
  <si>
    <t>&lt;a href="http://a836-acris.nyc.gov/DS/DocumentSearch/DocumentDetail?doc_id=2020080500277002" target="_blank"&gt;Public Record Only&lt;/a&gt;</t>
  </si>
  <si>
    <t>&lt;a href="http://a836-acris.nyc.gov/DS/DocumentSearch/DocumentDetail?doc_id=2020072700484002" target="_blank"&gt;Public Record Only&lt;/a&gt;</t>
  </si>
  <si>
    <t>&lt;a href="http://a836-acris.nyc.gov/DS/DocumentSearch/DocumentDetail?doc_id=2020080400343004" target="_blank"&gt;Public Record Only&lt;/a&gt;</t>
  </si>
  <si>
    <t>&lt;a href="http://a836-acris.nyc.gov/DS/DocumentSearch/DocumentDetail?doc_id=2020081300071002" target="_blank"&gt;Public Record Only&lt;/a&gt;</t>
  </si>
  <si>
    <t>&lt;a href="http://a836-acris.nyc.gov/DS/DocumentSearch/DocumentDetail?doc_id=2020081400643002" target="_blank"&gt;Public Record Only&lt;/a&gt;</t>
  </si>
  <si>
    <t>&lt;a href="http://a836-acris.nyc.gov/DS/DocumentSearch/DocumentDetail?doc_id=2020081300383003" target="_blank"&gt;Public Record Only&lt;/a&gt;</t>
  </si>
  <si>
    <t>&lt;a href="http://a836-acris.nyc.gov/DS/DocumentSearch/DocumentDetail?doc_id=2020081800043001" target="_blank"&gt;Public Record Only&lt;/a&gt;</t>
  </si>
  <si>
    <t>&lt;a href="http://a836-acris.nyc.gov/DS/DocumentSearch/DocumentDetail?doc_id=2020081701106002" target="_blank"&gt;Public Record Only&lt;/a&gt;</t>
  </si>
  <si>
    <t>&lt;a href="http://a836-acris.nyc.gov/DS/DocumentSearch/DocumentDetail?doc_id=2020081000165001" target="_blank"&gt;Public Record Only&lt;/a&gt;</t>
  </si>
  <si>
    <t>&lt;a href="http://a836-acris.nyc.gov/DS/DocumentSearch/DocumentDetail?doc_id=2020081900248002" target="_blank"&gt;Public Record Only&lt;/a&gt;</t>
  </si>
  <si>
    <t>&lt;a href="http://a836-acris.nyc.gov/DS/DocumentSearch/DocumentDetail?doc_id=2020082000825001" target="_blank"&gt;Public Record Only&lt;/a&gt;</t>
  </si>
  <si>
    <t>&lt;a href="http://a836-acris.nyc.gov/DS/DocumentSearch/DocumentDetail?doc_id=2020082700312002" target="_blank"&gt;Public Record Only&lt;/a&gt;</t>
  </si>
  <si>
    <t>&lt;a href="http://a836-acris.nyc.gov/DS/DocumentSearch/DocumentDetail?doc_id=2020090900063001" target="_blank"&gt;Public Record Only&lt;/a&gt;</t>
  </si>
  <si>
    <t>&lt;a href="http://a836-acris.nyc.gov/DS/DocumentSearch/DocumentDetail?doc_id=2020090201017003" target="_blank"&gt;Public Record Only&lt;/a&gt;</t>
  </si>
  <si>
    <t>&lt;a href="http://a836-acris.nyc.gov/DS/DocumentSearch/DocumentDetail?doc_id=2020091101017001" target="_blank"&gt;Public Record Only&lt;/a&gt;</t>
  </si>
  <si>
    <t>&lt;a href="http://a836-acris.nyc.gov/DS/DocumentSearch/DocumentDetail?doc_id=2020091000673001" target="_blank"&gt;Public Record Only&lt;/a&gt;</t>
  </si>
  <si>
    <t>&lt;a href="http://a836-acris.nyc.gov/DS/DocumentSearch/DocumentDetail?doc_id=2020090800541001" target="_blank"&gt;Public Record Only&lt;/a&gt;</t>
  </si>
  <si>
    <t>&lt;a href="http://a836-acris.nyc.gov/DS/DocumentSearch/DocumentDetail?doc_id=2020091700939004" target="_blank"&gt;Public Record Only&lt;/a&gt;</t>
  </si>
  <si>
    <t>&lt;a href="http://a836-acris.nyc.gov/DS/DocumentSearch/DocumentDetail?doc_id=2020091600778001" target="_blank"&gt;Public Record Only&lt;/a&gt;</t>
  </si>
  <si>
    <t>&lt;a href="http://a836-acris.nyc.gov/DS/DocumentSearch/DocumentDetail?doc_id=2020091700543003" target="_blank"&gt;Public Record Only&lt;/a&gt;</t>
  </si>
  <si>
    <t>&lt;a href="http://a836-acris.nyc.gov/DS/DocumentSearch/DocumentDetail?doc_id=2020092900492002" target="_blank"&gt;Public Record Only&lt;/a&gt;</t>
  </si>
  <si>
    <t>&lt;a href="http://a836-acris.nyc.gov/DS/DocumentSearch/DocumentDetail?doc_id=2020091800177002" target="_blank"&gt;Public Record Only&lt;/a&gt;</t>
  </si>
  <si>
    <t>&lt;a href="http://a836-acris.nyc.gov/DS/DocumentSearch/DocumentDetail?doc_id=2020093000586001" target="_blank"&gt;Public Record Only&lt;/a&gt;</t>
  </si>
  <si>
    <t>&lt;a href="http://a836-acris.nyc.gov/DS/DocumentSearch/DocumentDetail?doc_id=2020092900948001" target="_blank"&gt;Public Record Only&lt;/a&gt;</t>
  </si>
  <si>
    <t>&lt;a href="http://a836-acris.nyc.gov/DS/DocumentSearch/DocumentDetail?doc_id=2020103001043003" target="_blank"&gt;Public Record Only&lt;/a&gt;</t>
  </si>
  <si>
    <t>&lt;a href="http://a836-acris.nyc.gov/DS/DocumentSearch/DocumentDetail?doc_id=2020102800503002" target="_blank"&gt;Public Record Only&lt;/a&gt;</t>
  </si>
  <si>
    <t>&lt;a href="http://a836-acris.nyc.gov/DS/DocumentSearch/DocumentDetail?doc_id=2020102600375002" target="_blank"&gt;Public Record Only&lt;/a&gt;</t>
  </si>
  <si>
    <t>&lt;a href="http://a836-acris.nyc.gov/DS/DocumentSearch/DocumentDetail?doc_id=2020102900812003" target="_blank"&gt;Public Record Only&lt;/a&gt;</t>
  </si>
  <si>
    <t>&lt;a href="http://a836-acris.nyc.gov/DS/DocumentSearch/DocumentDetail?doc_id=2020110300631001" target="_blank"&gt;Public Record Only&lt;/a&gt;</t>
  </si>
  <si>
    <t>&lt;a href="http://a836-acris.nyc.gov/DS/DocumentSearch/DocumentDetail?doc_id=2020100600542001" target="_blank"&gt;Public Record Only&lt;/a&gt;</t>
  </si>
  <si>
    <t>&lt;a href="http://a836-acris.nyc.gov/DS/DocumentSearch/DocumentDetail?doc_id=2020101900340001" target="_blank"&gt;Public Record Only&lt;/a&gt;</t>
  </si>
  <si>
    <t>&lt;a href="http://a836-acris.nyc.gov/DS/DocumentSearch/DocumentDetail?doc_id=2020101300505002" target="_blank"&gt;Public Record Only&lt;/a&gt;</t>
  </si>
  <si>
    <t>&lt;a href="http://a836-acris.nyc.gov/DS/DocumentSearch/DocumentDetail?doc_id=2020100600416002" target="_blank"&gt;Public Record Only&lt;/a&gt;</t>
  </si>
  <si>
    <t>&lt;a href="http://a836-acris.nyc.gov/DS/DocumentSearch/DocumentDetail?doc_id=2020101200216003" target="_blank"&gt;Public Record Only&lt;/a&gt;</t>
  </si>
  <si>
    <t>&lt;a href="http://a836-acris.nyc.gov/DS/DocumentSearch/DocumentDetail?doc_id=2020102100945001" target="_blank"&gt;Public Record Only&lt;/a&gt;</t>
  </si>
  <si>
    <t>&lt;a href="http://a836-acris.nyc.gov/DS/DocumentSearch/DocumentDetail?doc_id=2020100500384003" target="_blank"&gt;Public Record Only&lt;/a&gt;</t>
  </si>
  <si>
    <t>&lt;a href="http://a836-acris.nyc.gov/DS/DocumentSearch/DocumentDetail?doc_id=2020101500933001" target="_blank"&gt;Public Record Only&lt;/a&gt;</t>
  </si>
  <si>
    <t>&lt;a href="http://a836-acris.nyc.gov/DS/DocumentSearch/DocumentDetail?doc_id=2020110900483001" target="_blank"&gt;Public Record Only&lt;/a&gt;</t>
  </si>
  <si>
    <t>&lt;a href="http://a836-acris.nyc.gov/DS/DocumentSearch/DocumentDetail?doc_id=2020111001142001" target="_blank"&gt;Public Record Only&lt;/a&gt;</t>
  </si>
  <si>
    <t>&lt;a href="http://a836-acris.nyc.gov/DS/DocumentSearch/DocumentDetail?doc_id=2020090900266004" target="_blank"&gt;Public Record Only&lt;/a&gt;</t>
  </si>
  <si>
    <t>&lt;a href="http://a836-acris.nyc.gov/DS/DocumentSearch/DocumentDetail?doc_id=2020112000150001" target="_blank"&gt;Public Record Only&lt;/a&gt;</t>
  </si>
  <si>
    <t>&lt;a href="http://a836-acris.nyc.gov/DS/DocumentSearch/DocumentDetail?doc_id=2020091700592001" target="_blank"&gt;Public Record Only&lt;/a&gt;</t>
  </si>
  <si>
    <t>&lt;a href="http://a836-acris.nyc.gov/DS/DocumentSearch/DocumentDetail?doc_id=2020122400361002" target="_blank"&gt;Public Record Only&lt;/a&gt;</t>
  </si>
  <si>
    <t>&lt;a href="http://a836-acris.nyc.gov/DS/DocumentSearch/DocumentDetail?doc_id=2020121801082003" target="_blank"&gt;Public Record Only&lt;/a&gt;</t>
  </si>
  <si>
    <t>&lt;a href="http://a836-acris.nyc.gov/DS/DocumentSearch/DocumentDetail?doc_id=2020121600904006" target="_blank"&gt;Public Record Only&lt;/a&gt;</t>
  </si>
  <si>
    <t>&lt;a href="http://a836-acris.nyc.gov/DS/DocumentSearch/DocumentDetail?doc_id=2021010700754002" target="_blank"&gt;Public Record Only&lt;/a&gt;</t>
  </si>
  <si>
    <t>&lt;a href="http://a836-acris.nyc.gov/DS/DocumentSearch/DocumentDetail?doc_id=2021010701328004" target="_blank"&gt;Public Record Only&lt;/a&gt;</t>
  </si>
  <si>
    <t>&lt;a href="http://a836-acris.nyc.gov/DS/DocumentSearch/DocumentDetail?doc_id=2021011201450004" target="_blank"&gt;Public Record Only&lt;/a&gt;</t>
  </si>
  <si>
    <t>&lt;a href="http://a836-acris.nyc.gov/DS/DocumentSearch/DocumentDetail?doc_id=2021011500755003" target="_blank"&gt;Public Record Only&lt;/a&gt;</t>
  </si>
  <si>
    <t>&lt;a href="http://a836-acris.nyc.gov/DS/DocumentSearch/DocumentDetail?doc_id=2021012500129002" target="_blank"&gt;Public Record Only&lt;/a&gt;</t>
  </si>
  <si>
    <t>&lt;a href="http://a836-acris.nyc.gov/DS/DocumentSearch/DocumentDetail?doc_id=2020110600129003" target="_blank"&gt;Public Record Only&lt;/a&gt;</t>
  </si>
  <si>
    <t>&lt;a href="http://a836-acris.nyc.gov/DS/DocumentSearch/DocumentDetail?doc_id=2021012000204001" target="_blank"&gt;Public Record Only&lt;/a&gt;</t>
  </si>
  <si>
    <t>&lt;a href="http://a836-acris.nyc.gov/DS/DocumentSearch/DocumentDetail?doc_id=2021012201327002" target="_blank"&gt;Public Record Only&lt;/a&gt;</t>
  </si>
  <si>
    <t>&lt;a href="http://a836-acris.nyc.gov/DS/DocumentSearch/DocumentDetail?doc_id=2021012800919002" target="_blank"&gt;Public Record Only&lt;/a&gt;</t>
  </si>
  <si>
    <t>&lt;a href="http://a836-acris.nyc.gov/DS/DocumentSearch/DocumentDetail?doc_id=2021010400936003" target="_blank"&gt;Public Record Only&lt;/a&gt;</t>
  </si>
  <si>
    <t>&lt;a href="http://a836-acris.nyc.gov/DS/DocumentSearch/DocumentDetail?doc_id=2015111001030001" target="_blank"&gt;Public Record Only&lt;/a&gt;</t>
  </si>
  <si>
    <t>&lt;a href="http://a836-acris.nyc.gov/DS/DocumentSearch/DocumentDetail?doc_id=2015120800556001" target="_blank"&gt;Public Record Only&lt;/a&gt;</t>
  </si>
  <si>
    <t>&lt;a href="http://a836-acris.nyc.gov/DS/DocumentSearch/DocumentDetail?doc_id=2016012701137001" target="_blank"&gt;Public Record Only&lt;/a&gt;</t>
  </si>
  <si>
    <t>&lt;a href="http://a836-acris.nyc.gov/DS/DocumentSearch/DocumentDetail?doc_id=2015110501291001" target="_blank"&gt;Public Record Only&lt;/a&gt;</t>
  </si>
  <si>
    <t>&lt;a href="http://a836-acris.nyc.gov/DS/DocumentSearch/DocumentDetail?doc_id=2015112300152001" target="_blank"&gt;Public Record Only&lt;/a&gt;</t>
  </si>
  <si>
    <t>&lt;a href="http://a836-acris.nyc.gov/DS/DocumentSearch/DocumentDetail?doc_id=2015120300496001" target="_blank"&gt;Public Record Only&lt;/a&gt;</t>
  </si>
  <si>
    <t>&lt;a href="http://a836-acris.nyc.gov/DS/DocumentSearch/DocumentDetail?doc_id=2021012001237002" target="_blank"&gt;Public Record Only&lt;/a&gt;</t>
  </si>
  <si>
    <t>&lt;a href="http://a836-acris.nyc.gov/DS/DocumentSearch/DocumentDetail?doc_id=2021020400191003" target="_blank"&gt;Public Record Only&lt;/a&gt;</t>
  </si>
  <si>
    <t>&lt;a href="http://a836-acris.nyc.gov/DS/DocumentSearch/DocumentDetail?doc_id=2021020500961002" target="_blank"&gt;Public Record Only&lt;/a&gt;</t>
  </si>
  <si>
    <t>&lt;a href="http://a836-acris.nyc.gov/DS/DocumentSearch/DocumentDetail?doc_id=2021020401159002" target="_blank"&gt;Public Record Only&lt;/a&gt;</t>
  </si>
  <si>
    <t>&lt;a href="http://a836-acris.nyc.gov/DS/DocumentSearch/DocumentDetail?doc_id=2021021000835001" target="_blank"&gt;Public Record Only&lt;/a&gt;</t>
  </si>
  <si>
    <t>&lt;a href="http://a836-acris.nyc.gov/DS/DocumentSearch/DocumentDetail?doc_id=2020082500697002" target="_blank"&gt;Public Record Only&lt;/a&gt;</t>
  </si>
  <si>
    <t>&lt;a href="http://a836-acris.nyc.gov/DS/DocumentSearch/DocumentDetail?doc_id=2021021100711003" target="_blank"&gt;Public Record Only&lt;/a&gt;</t>
  </si>
  <si>
    <t>&lt;a href="http://a836-acris.nyc.gov/DS/DocumentSearch/DocumentDetail?doc_id=2021030100180003" target="_blank"&gt;Public Record Only&lt;/a&gt;</t>
  </si>
  <si>
    <t>&lt;a href="http://a836-acris.nyc.gov/DS/DocumentSearch/DocumentDetail?doc_id=2021030900673001" target="_blank"&gt;Public Record Only&lt;/a&gt;</t>
  </si>
  <si>
    <t>&lt;a href="http://a836-acris.nyc.gov/DS/DocumentSearch/DocumentDetail?doc_id=2021030900654001" target="_blank"&gt;Public Record Only&lt;/a&gt;</t>
  </si>
  <si>
    <t>&lt;a href="http://a836-acris.nyc.gov/DS/DocumentSearch/DocumentDetail?doc_id=2021031201196011" target="_blank"&gt;Public Record Only&lt;/a&gt;</t>
  </si>
  <si>
    <t>&lt;a href="http://a836-acris.nyc.gov/DS/DocumentSearch/DocumentDetail?doc_id=2021030900687001" target="_blank"&gt;Public Record Only&lt;/a&gt;</t>
  </si>
  <si>
    <t>&lt;a href="http://a836-acris.nyc.gov/DS/DocumentSearch/DocumentDetail?doc_id=2021021001459002" target="_blank"&gt;Public Record Only&lt;/a&gt;</t>
  </si>
  <si>
    <t>&lt;a href="http://a836-acris.nyc.gov/DS/DocumentSearch/DocumentDetail?doc_id=2021032400403001" target="_blank"&gt;Public Record Only&lt;/a&gt;</t>
  </si>
  <si>
    <t>&lt;a href="http://a836-acris.nyc.gov/DS/DocumentSearch/DocumentDetail?doc_id=2021041900575002" target="_blank"&gt;Public Record Only&lt;/a&gt;</t>
  </si>
  <si>
    <t>&lt;a href="http://a836-acris.nyc.gov/DS/DocumentSearch/DocumentDetail?doc_id=2021042101152001" target="_blank"&gt;Public Record Only&lt;/a&gt;</t>
  </si>
  <si>
    <t>&lt;a href="http://a836-acris.nyc.gov/DS/DocumentSearch/DocumentDetail?doc_id=2021042400043002" target="_blank"&gt;Public Record Only&lt;/a&gt;</t>
  </si>
  <si>
    <t>&lt;a href="http://a836-acris.nyc.gov/DS/DocumentSearch/DocumentDetail?doc_id=2021042300759002" target="_blank"&gt;Public Record Only&lt;/a&gt;</t>
  </si>
  <si>
    <t>&lt;a href="http://a836-acris.nyc.gov/DS/DocumentSearch/DocumentDetail?doc_id=2021042300067001" target="_blank"&gt;Public Record Only&lt;/a&gt;</t>
  </si>
  <si>
    <t>&lt;a href="http://a836-acris.nyc.gov/DS/DocumentSearch/DocumentDetail?doc_id=2021042801516004" target="_blank"&gt;Public Record Only&lt;/a&gt;</t>
  </si>
  <si>
    <t>&lt;a href="http://a836-acris.nyc.gov/DS/DocumentSearch/DocumentDetail?doc_id=2021042801516006" target="_blank"&gt;Public Record Only&lt;/a&gt;</t>
  </si>
  <si>
    <t>&lt;a href="http://a836-acris.nyc.gov/DS/DocumentSearch/DocumentDetail?doc_id=2021021100840001" target="_blank"&gt;Public Record Only&lt;/a&gt;</t>
  </si>
  <si>
    <t>&lt;a href="http://a836-acris.nyc.gov/DS/DocumentSearch/DocumentDetail?doc_id=2021050300361002" target="_blank"&gt;Public Record Only&lt;/a&gt;</t>
  </si>
  <si>
    <t>&lt;a href="http://a836-acris.nyc.gov/DS/DocumentSearch/DocumentDetail?doc_id=2021042800329001" target="_blank"&gt;Public Record Only&lt;/a&gt;</t>
  </si>
  <si>
    <t>&lt;a href="http://a836-acris.nyc.gov/DS/DocumentSearch/DocumentDetail?doc_id=2021050601669010" target="_blank"&gt;Public Record Only&lt;/a&gt;</t>
  </si>
  <si>
    <t>&lt;a href="http://a836-acris.nyc.gov/DS/DocumentSearch/DocumentDetail?doc_id=2021050601669011" target="_blank"&gt;Public Record Only&lt;/a&gt;</t>
  </si>
  <si>
    <t>&lt;a href="http://a836-acris.nyc.gov/DS/DocumentSearch/DocumentDetail?doc_id=2021050601623001" target="_blank"&gt;Public Record Only&lt;/a&gt;</t>
  </si>
  <si>
    <t>&lt;a href="http://a836-acris.nyc.gov/DS/DocumentSearch/DocumentDetail?doc_id=2021050601636001" target="_blank"&gt;Public Record Only&lt;/a&gt;</t>
  </si>
  <si>
    <t>&lt;a href="http://a836-acris.nyc.gov/DS/DocumentSearch/DocumentDetail?doc_id=2021050601630001" target="_blank"&gt;Public Record Only&lt;/a&gt;</t>
  </si>
  <si>
    <t>&lt;a href="http://a836-acris.nyc.gov/DS/DocumentSearch/DocumentDetail?doc_id=2021050301098001" target="_blank"&gt;Public Record Only&lt;/a&gt;</t>
  </si>
  <si>
    <t>&lt;a href="http://a836-acris.nyc.gov/DS/DocumentSearch/DocumentDetail?doc_id=2021051200478002" target="_blank"&gt;Public Record Only&lt;/a&gt;</t>
  </si>
  <si>
    <t>&lt;a href="http://a836-acris.nyc.gov/DS/DocumentSearch/DocumentDetail?doc_id=2021051400428006" target="_blank"&gt;Public Record Only&lt;/a&gt;</t>
  </si>
  <si>
    <t>&lt;a href="http://a836-acris.nyc.gov/DS/DocumentSearch/DocumentDetail?doc_id=2021050701240002" target="_blank"&gt;Public Record Only&lt;/a&gt;</t>
  </si>
  <si>
    <t>&lt;a href="http://a836-acris.nyc.gov/DS/DocumentSearch/DocumentDetail?doc_id=2021060300976002" target="_blank"&gt;Public Record Only&lt;/a&gt;</t>
  </si>
  <si>
    <t>&lt;a href="http://a836-acris.nyc.gov/DS/DocumentSearch/DocumentDetail?doc_id=2021060500076002" target="_blank"&gt;Public Record Only&lt;/a&gt;</t>
  </si>
  <si>
    <t>&lt;a href="http://a836-acris.nyc.gov/DS/DocumentSearch/DocumentDetail?doc_id=2021060100876004" target="_blank"&gt;Public Record Only&lt;/a&gt;</t>
  </si>
  <si>
    <t>&lt;a href="http://a836-acris.nyc.gov/DS/DocumentSearch/DocumentDetail?doc_id=2021060700716001" target="_blank"&gt;Public Record Only&lt;/a&gt;</t>
  </si>
  <si>
    <t>&lt;a href="http://a836-acris.nyc.gov/DS/DocumentSearch/DocumentDetail?doc_id=2021061600708001" target="_blank"&gt;Public Record Only&lt;/a&gt;</t>
  </si>
  <si>
    <t>&lt;a href="http://a836-acris.nyc.gov/DS/DocumentSearch/DocumentDetail?doc_id=2021062101408002" target="_blank"&gt;Public Record Only&lt;/a&gt;</t>
  </si>
  <si>
    <t>&lt;a href="http://a836-acris.nyc.gov/DS/DocumentSearch/DocumentDetail?doc_id=2021062200782002" target="_blank"&gt;Public Record Only&lt;/a&gt;</t>
  </si>
  <si>
    <t>&lt;a href="http://a836-acris.nyc.gov/DS/DocumentSearch/DocumentDetail?doc_id=2021062400787004" target="_blank"&gt;Public Record Only&lt;/a&gt;</t>
  </si>
  <si>
    <t>&lt;a href="http://a836-acris.nyc.gov/DS/DocumentSearch/DocumentDetail?doc_id=2021042300216002" target="_blank"&gt;Public Record Only&lt;/a&gt;</t>
  </si>
  <si>
    <t>&lt;a href="http://a836-acris.nyc.gov/DS/DocumentSearch/DocumentDetail?doc_id=2021070700448002" target="_blank"&gt;Public Record Only&lt;/a&gt;</t>
  </si>
  <si>
    <t>&lt;a href="http://a836-acris.nyc.gov/DS/DocumentSearch/DocumentDetail?doc_id=2021061700454003" target="_blank"&gt;Public Record Only&lt;/a&gt;</t>
  </si>
  <si>
    <t>&lt;a href="http://a836-acris.nyc.gov/DS/DocumentSearch/DocumentDetail?doc_id=2018092700731001" target="_blank"&gt;Public Record Only&lt;/a&gt;</t>
  </si>
  <si>
    <t>&lt;a href="http://a836-acris.nyc.gov/DS/DocumentSearch/DocumentDetail?doc_id=2018100101066001" target="_blank"&gt;Public Record Only&lt;/a&gt;</t>
  </si>
  <si>
    <t>&lt;a href="http://a836-acris.nyc.gov/DS/DocumentSearch/DocumentDetail?doc_id=2018100901307001" target="_blank"&gt;Public Record Only&lt;/a&gt;</t>
  </si>
  <si>
    <t>&lt;a href="http://a836-acris.nyc.gov/DS/DocumentSearch/DocumentDetail?doc_id=2018101000874001" target="_blank"&gt;Public Record Only&lt;/a&gt;</t>
  </si>
  <si>
    <t>&lt;a href="http://a836-acris.nyc.gov/DS/DocumentSearch/DocumentDetail?doc_id=2018100400208002" target="_blank"&gt;Public Record Only&lt;/a&gt;</t>
  </si>
  <si>
    <t>&lt;a href="http://a836-acris.nyc.gov/DS/DocumentSearch/DocumentDetail?doc_id=2018100500152001" target="_blank"&gt;Public Record Only&lt;/a&gt;</t>
  </si>
  <si>
    <t>&lt;a href="http://a836-acris.nyc.gov/DS/DocumentSearch/DocumentDetail?doc_id=2018101001050001" target="_blank"&gt;Public Record Only&lt;/a&gt;</t>
  </si>
  <si>
    <t>&lt;a href="http://a836-acris.nyc.gov/DS/DocumentSearch/DocumentDetail?doc_id=2018101000582002" target="_blank"&gt;Public Record Only&lt;/a&gt;</t>
  </si>
  <si>
    <t>&lt;a href="http://a836-acris.nyc.gov/DS/DocumentSearch/DocumentDetail?doc_id=2018101100808001" target="_blank"&gt;Public Record Only&lt;/a&gt;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</si>
</sst>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yyyy\-mm\-dd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76" fontId="1" fillId="0" borderId="0" xfId="0" applyNumberFormat="1" applyFont="1" applyAlignment="1"/>
    <xf numFmtId="3" fontId="1" fillId="0" borderId="0" xfId="0" applyNumberFormat="1" applyFont="1" applyAlignment="1"/>
    <xf numFmtId="177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3233"/>
  <sheetViews>
    <sheetView tabSelected="1" workbookViewId="0">
      <selection activeCell="G4" sqref="G4"/>
    </sheetView>
  </sheetViews>
  <sheetFormatPr defaultColWidth="14.42578125" defaultRowHeight="15.75" customHeight="1" x14ac:dyDescent="0.2"/>
  <sheetData>
    <row r="1" spans="1:39" x14ac:dyDescent="0.2">
      <c r="A1" s="1" t="s">
        <v>0</v>
      </c>
    </row>
    <row r="2" spans="1:3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</row>
    <row r="3" spans="1:39" x14ac:dyDescent="0.2">
      <c r="A3" s="2" t="str">
        <f>HYPERLINK("https://www.compass.com/listing/91-leonard-street-unit-2a-manhattan-ny-10013/646544359586810841/","91 Leonard St, Unit 2A")</f>
        <v>91 Leonard St, Unit 2A</v>
      </c>
      <c r="B3" s="2" t="str">
        <f>HYPERLINK("https://www.compass.com/building/91-leonard-manhattan-ny/282058661633754165/","91 Leonard")</f>
        <v>91 Leonard</v>
      </c>
      <c r="C3" s="1" t="s">
        <v>40</v>
      </c>
      <c r="D3" s="1" t="s">
        <v>41</v>
      </c>
      <c r="E3" s="3">
        <v>1850000</v>
      </c>
      <c r="F3" s="1">
        <v>1846.3073852295399</v>
      </c>
      <c r="G3" s="1">
        <v>2</v>
      </c>
      <c r="H3" s="1">
        <v>1</v>
      </c>
      <c r="I3" s="1">
        <v>2</v>
      </c>
      <c r="J3" s="1">
        <v>1.5</v>
      </c>
      <c r="K3" s="1">
        <v>1</v>
      </c>
      <c r="L3" s="1">
        <v>1</v>
      </c>
      <c r="M3" s="4">
        <v>1002</v>
      </c>
      <c r="N3" s="1">
        <v>1195</v>
      </c>
      <c r="O3" s="1">
        <v>2400</v>
      </c>
      <c r="P3" s="1">
        <v>1205</v>
      </c>
      <c r="S3" s="1" t="s">
        <v>42</v>
      </c>
      <c r="T3" s="1" t="s">
        <v>43</v>
      </c>
      <c r="V3" s="5">
        <v>44365</v>
      </c>
      <c r="AB3" s="1" t="s">
        <v>44</v>
      </c>
      <c r="AF3" s="1">
        <v>10013</v>
      </c>
      <c r="AI3" s="1" t="s">
        <v>45</v>
      </c>
      <c r="AJ3" s="1">
        <v>2016</v>
      </c>
      <c r="AK3" s="1" t="s">
        <v>46</v>
      </c>
      <c r="AL3" s="1">
        <v>111</v>
      </c>
    </row>
    <row r="4" spans="1:39" x14ac:dyDescent="0.2">
      <c r="A4" s="2" t="str">
        <f>HYPERLINK("https://www.compass.com/listing/175-west-95th-street-unit-28e-manhattan-ny-10025/846307832902792977/","175 W 95th St, Unit 28E")</f>
        <v>175 W 95th St, Unit 28E</v>
      </c>
      <c r="B4" s="2" t="str">
        <f t="shared" ref="B4:B6" si="0">HYPERLINK("https://www.compass.com/building/175-w-95th-manhattan-ny/292876785429866517/","175 W 95th")</f>
        <v>175 W 95th</v>
      </c>
      <c r="C4" s="1" t="s">
        <v>47</v>
      </c>
      <c r="D4" s="1" t="s">
        <v>41</v>
      </c>
      <c r="E4" s="3">
        <v>1795000</v>
      </c>
      <c r="F4" s="1">
        <v>1865.90436590436</v>
      </c>
      <c r="G4" s="1">
        <v>5</v>
      </c>
      <c r="H4" s="1">
        <v>2</v>
      </c>
      <c r="I4" s="1">
        <v>2</v>
      </c>
      <c r="J4" s="1">
        <v>2</v>
      </c>
      <c r="K4" s="1">
        <v>2</v>
      </c>
      <c r="M4" s="1">
        <v>962</v>
      </c>
      <c r="N4" s="1">
        <v>1108</v>
      </c>
      <c r="O4" s="1">
        <v>2037</v>
      </c>
      <c r="P4" s="1">
        <v>929</v>
      </c>
      <c r="S4" s="1" t="s">
        <v>42</v>
      </c>
      <c r="T4" s="1" t="s">
        <v>48</v>
      </c>
      <c r="U4" s="1">
        <v>7</v>
      </c>
      <c r="V4" s="5">
        <v>44420</v>
      </c>
      <c r="W4" s="5">
        <v>44420</v>
      </c>
      <c r="X4" s="1">
        <v>1795000</v>
      </c>
      <c r="AB4" s="1" t="s">
        <v>44</v>
      </c>
      <c r="AF4" s="1">
        <v>10025</v>
      </c>
      <c r="AI4" s="1" t="s">
        <v>49</v>
      </c>
      <c r="AJ4" s="1">
        <v>1971</v>
      </c>
      <c r="AK4" s="1" t="s">
        <v>50</v>
      </c>
      <c r="AL4" s="1">
        <v>226</v>
      </c>
    </row>
    <row r="5" spans="1:39" x14ac:dyDescent="0.2">
      <c r="A5" s="2" t="str">
        <f>HYPERLINK("https://www.compass.com/listing/175-west-95th-street-unit-5d-manhattan-ny-10025/846308162205331609/","175 W 95th St, Unit 5D")</f>
        <v>175 W 95th St, Unit 5D</v>
      </c>
      <c r="B5" s="2" t="str">
        <f t="shared" si="0"/>
        <v>175 W 95th</v>
      </c>
      <c r="C5" s="1" t="s">
        <v>47</v>
      </c>
      <c r="D5" s="1" t="s">
        <v>41</v>
      </c>
      <c r="E5" s="3">
        <v>1149500</v>
      </c>
      <c r="F5" s="1">
        <v>1623.5875706214599</v>
      </c>
      <c r="G5" s="1">
        <v>4</v>
      </c>
      <c r="H5" s="1">
        <v>1</v>
      </c>
      <c r="I5" s="1">
        <v>1</v>
      </c>
      <c r="J5" s="1">
        <v>1</v>
      </c>
      <c r="K5" s="1">
        <v>1</v>
      </c>
      <c r="M5" s="1">
        <v>708</v>
      </c>
      <c r="N5" s="1">
        <v>744</v>
      </c>
      <c r="O5" s="1">
        <v>1368</v>
      </c>
      <c r="P5" s="1">
        <v>624</v>
      </c>
      <c r="S5" s="1" t="s">
        <v>42</v>
      </c>
      <c r="T5" s="1" t="s">
        <v>48</v>
      </c>
      <c r="U5" s="1">
        <v>7</v>
      </c>
      <c r="V5" s="5">
        <v>44420</v>
      </c>
      <c r="W5" s="5">
        <v>44420</v>
      </c>
      <c r="X5" s="1">
        <v>1149500</v>
      </c>
      <c r="AB5" s="1" t="s">
        <v>44</v>
      </c>
      <c r="AF5" s="1">
        <v>10025</v>
      </c>
      <c r="AI5" s="1" t="s">
        <v>51</v>
      </c>
      <c r="AJ5" s="1">
        <v>1971</v>
      </c>
      <c r="AK5" s="1" t="s">
        <v>50</v>
      </c>
      <c r="AL5" s="1">
        <v>226</v>
      </c>
    </row>
    <row r="6" spans="1:39" x14ac:dyDescent="0.2">
      <c r="A6" s="2" t="str">
        <f>HYPERLINK("https://www.compass.com/listing/175-west-95th-street-unit-21j-manhattan-ny-10025/834939348213733737/","175 W 95th St, Unit 21J")</f>
        <v>175 W 95th St, Unit 21J</v>
      </c>
      <c r="B6" s="2" t="str">
        <f t="shared" si="0"/>
        <v>175 W 95th</v>
      </c>
      <c r="C6" s="1" t="s">
        <v>47</v>
      </c>
      <c r="D6" s="1" t="s">
        <v>41</v>
      </c>
      <c r="E6" s="3">
        <v>785000</v>
      </c>
      <c r="F6" s="1">
        <v>1533.203125</v>
      </c>
      <c r="G6" s="1">
        <v>3</v>
      </c>
      <c r="H6" s="1">
        <v>1</v>
      </c>
      <c r="I6" s="1">
        <v>1</v>
      </c>
      <c r="J6" s="1">
        <v>1</v>
      </c>
      <c r="K6" s="1">
        <v>1</v>
      </c>
      <c r="M6" s="1">
        <v>512</v>
      </c>
      <c r="N6" s="1">
        <v>553.33000000000004</v>
      </c>
      <c r="O6" s="1">
        <v>969.83</v>
      </c>
      <c r="P6" s="1">
        <v>416.5</v>
      </c>
      <c r="S6" s="1" t="s">
        <v>42</v>
      </c>
      <c r="T6" s="1" t="s">
        <v>48</v>
      </c>
      <c r="U6" s="1">
        <v>22</v>
      </c>
      <c r="V6" s="5">
        <v>44406</v>
      </c>
      <c r="W6" s="5">
        <v>44405</v>
      </c>
      <c r="X6" s="1">
        <v>785000</v>
      </c>
      <c r="AB6" s="1" t="s">
        <v>44</v>
      </c>
      <c r="AF6" s="1">
        <v>10025</v>
      </c>
      <c r="AI6" s="1" t="s">
        <v>52</v>
      </c>
      <c r="AJ6" s="1">
        <v>1971</v>
      </c>
      <c r="AK6" s="1" t="s">
        <v>50</v>
      </c>
      <c r="AL6" s="1">
        <v>226</v>
      </c>
    </row>
    <row r="7" spans="1:39" x14ac:dyDescent="0.2">
      <c r="A7" s="2" t="str">
        <f>HYPERLINK("https://www.compass.com/listing/302-east-96th-street-unit-802-manhattan-ny-10128/846342289260492417/","302 E 96th St, Unit 802")</f>
        <v>302 E 96th St, Unit 802</v>
      </c>
      <c r="B7" s="2" t="str">
        <f t="shared" ref="B7:B8" si="1">HYPERLINK("https://www.compass.com/building/302-e-96th-st-manhattan-ny/282050840162756469/","302 E 96th St")</f>
        <v>302 E 96th St</v>
      </c>
      <c r="C7" s="1" t="s">
        <v>53</v>
      </c>
      <c r="D7" s="1" t="s">
        <v>41</v>
      </c>
      <c r="E7" s="3">
        <v>1450000</v>
      </c>
      <c r="F7" s="1">
        <v>1481.10316649642</v>
      </c>
      <c r="G7" s="1">
        <v>4</v>
      </c>
      <c r="H7" s="1">
        <v>1</v>
      </c>
      <c r="I7" s="1">
        <v>2</v>
      </c>
      <c r="J7" s="1">
        <v>2</v>
      </c>
      <c r="K7" s="1">
        <v>2</v>
      </c>
      <c r="M7" s="1">
        <v>979</v>
      </c>
      <c r="N7" s="1">
        <v>1038</v>
      </c>
      <c r="O7" s="1">
        <v>1930</v>
      </c>
      <c r="P7" s="1">
        <v>892</v>
      </c>
      <c r="S7" s="1" t="s">
        <v>42</v>
      </c>
      <c r="T7" s="1" t="s">
        <v>48</v>
      </c>
      <c r="U7" s="1">
        <v>7</v>
      </c>
      <c r="V7" s="5">
        <v>44420</v>
      </c>
      <c r="W7" s="5">
        <v>44420</v>
      </c>
      <c r="X7" s="1">
        <v>1450000</v>
      </c>
      <c r="AB7" s="1" t="s">
        <v>44</v>
      </c>
      <c r="AF7" s="1">
        <v>10128</v>
      </c>
      <c r="AI7" s="1" t="s">
        <v>54</v>
      </c>
      <c r="AJ7" s="1">
        <v>2018</v>
      </c>
      <c r="AK7" s="1" t="s">
        <v>55</v>
      </c>
      <c r="AL7" s="1">
        <v>48</v>
      </c>
    </row>
    <row r="8" spans="1:39" x14ac:dyDescent="0.2">
      <c r="A8" s="2" t="str">
        <f>HYPERLINK("https://www.compass.com/listing/302-east-96th-street-unit-703-manhattan-ny-10128/846342384605412481/","302 E 96th St, Unit 703")</f>
        <v>302 E 96th St, Unit 703</v>
      </c>
      <c r="B8" s="2" t="str">
        <f t="shared" si="1"/>
        <v>302 E 96th St</v>
      </c>
      <c r="C8" s="1" t="s">
        <v>53</v>
      </c>
      <c r="D8" s="1" t="s">
        <v>41</v>
      </c>
      <c r="E8" s="3">
        <v>1975000</v>
      </c>
      <c r="F8" s="1">
        <v>1393.78969654199</v>
      </c>
      <c r="G8" s="1">
        <v>5</v>
      </c>
      <c r="H8" s="1">
        <v>2</v>
      </c>
      <c r="I8" s="1">
        <v>3</v>
      </c>
      <c r="J8" s="1">
        <v>3</v>
      </c>
      <c r="K8" s="1">
        <v>3</v>
      </c>
      <c r="M8" s="4">
        <v>1417</v>
      </c>
      <c r="N8" s="1">
        <v>1496</v>
      </c>
      <c r="O8" s="1">
        <v>2782</v>
      </c>
      <c r="P8" s="1">
        <v>1286</v>
      </c>
      <c r="S8" s="1" t="s">
        <v>42</v>
      </c>
      <c r="T8" s="1" t="s">
        <v>48</v>
      </c>
      <c r="U8" s="1">
        <v>7</v>
      </c>
      <c r="V8" s="5">
        <v>44420</v>
      </c>
      <c r="W8" s="5">
        <v>44420</v>
      </c>
      <c r="X8" s="1">
        <v>1975000</v>
      </c>
      <c r="AB8" s="1" t="s">
        <v>44</v>
      </c>
      <c r="AF8" s="1">
        <v>10128</v>
      </c>
      <c r="AI8" s="1" t="s">
        <v>54</v>
      </c>
      <c r="AJ8" s="1">
        <v>2018</v>
      </c>
      <c r="AK8" s="1" t="s">
        <v>55</v>
      </c>
      <c r="AL8" s="1">
        <v>48</v>
      </c>
    </row>
    <row r="9" spans="1:39" x14ac:dyDescent="0.2">
      <c r="A9" s="2" t="str">
        <f>HYPERLINK("https://www.compass.com/listing/91-leonard-street-unit-16a-manhattan-ny-10013/841337695129632001/","91 Leonard St, Unit 16A")</f>
        <v>91 Leonard St, Unit 16A</v>
      </c>
      <c r="B9" s="2" t="str">
        <f>HYPERLINK("https://www.compass.com/building/91-leonard-manhattan-ny/282058661633754165/","91 Leonard")</f>
        <v>91 Leonard</v>
      </c>
      <c r="C9" s="1" t="s">
        <v>40</v>
      </c>
      <c r="D9" s="1" t="s">
        <v>41</v>
      </c>
      <c r="E9" s="3">
        <v>6034500</v>
      </c>
      <c r="F9" s="1">
        <v>3308.3881578947298</v>
      </c>
      <c r="G9" s="1">
        <v>4</v>
      </c>
      <c r="H9" s="1">
        <v>3</v>
      </c>
      <c r="I9" s="1">
        <v>3</v>
      </c>
      <c r="J9" s="1">
        <v>3</v>
      </c>
      <c r="K9" s="1">
        <v>3</v>
      </c>
      <c r="M9" s="4">
        <v>1824</v>
      </c>
      <c r="N9" s="1">
        <v>2254</v>
      </c>
      <c r="O9" s="1">
        <v>4530</v>
      </c>
      <c r="P9" s="1">
        <v>2276</v>
      </c>
      <c r="S9" s="1" t="s">
        <v>42</v>
      </c>
      <c r="T9" s="1" t="s">
        <v>48</v>
      </c>
      <c r="U9" s="1">
        <v>14</v>
      </c>
      <c r="V9" s="5">
        <v>44413</v>
      </c>
      <c r="W9" s="5">
        <v>44413</v>
      </c>
      <c r="X9" s="1">
        <v>6034500</v>
      </c>
      <c r="AB9" s="1" t="s">
        <v>44</v>
      </c>
      <c r="AF9" s="1">
        <v>10013</v>
      </c>
      <c r="AI9" s="1" t="s">
        <v>56</v>
      </c>
      <c r="AJ9" s="1">
        <v>2016</v>
      </c>
      <c r="AK9" s="1" t="s">
        <v>50</v>
      </c>
      <c r="AL9" s="1">
        <v>111</v>
      </c>
    </row>
    <row r="10" spans="1:39" x14ac:dyDescent="0.2">
      <c r="A10" s="2" t="str">
        <f>HYPERLINK("https://www.compass.com/listing/520-west-45th-street-unit-3a-manhattan-ny-10036/847220830701865233/","520 W 45th St, Unit 3A")</f>
        <v>520 W 45th St, Unit 3A</v>
      </c>
      <c r="B10" s="2" t="str">
        <f>HYPERLINK("https://www.compass.com/building/inkwell-manhattan-ny/282026081983148485/","Inkwell")</f>
        <v>Inkwell</v>
      </c>
      <c r="C10" s="1" t="s">
        <v>57</v>
      </c>
      <c r="D10" s="1" t="s">
        <v>41</v>
      </c>
      <c r="E10" s="3">
        <v>2295000</v>
      </c>
      <c r="F10" s="1">
        <v>1638.1156316916399</v>
      </c>
      <c r="G10" s="1">
        <v>4.5</v>
      </c>
      <c r="H10" s="1">
        <v>2</v>
      </c>
      <c r="J10" s="1">
        <v>2</v>
      </c>
      <c r="M10" s="4">
        <v>1401</v>
      </c>
      <c r="N10" s="1">
        <v>2171</v>
      </c>
      <c r="O10" s="1">
        <v>4219</v>
      </c>
      <c r="P10" s="1">
        <v>2048</v>
      </c>
      <c r="S10" s="1" t="s">
        <v>42</v>
      </c>
      <c r="T10" s="1" t="s">
        <v>48</v>
      </c>
      <c r="U10" s="1">
        <v>6</v>
      </c>
      <c r="V10" s="5">
        <v>44421</v>
      </c>
      <c r="W10" s="5">
        <v>44421</v>
      </c>
      <c r="X10" s="1">
        <v>2295000</v>
      </c>
      <c r="AB10" s="1" t="s">
        <v>44</v>
      </c>
      <c r="AF10" s="1">
        <v>10036</v>
      </c>
      <c r="AI10" s="1" t="s">
        <v>58</v>
      </c>
      <c r="AJ10" s="1">
        <v>1905</v>
      </c>
      <c r="AK10" s="1" t="s">
        <v>59</v>
      </c>
      <c r="AL10" s="1">
        <v>18</v>
      </c>
    </row>
    <row r="11" spans="1:39" x14ac:dyDescent="0.2">
      <c r="A11" s="2" t="str">
        <f>HYPERLINK("https://www.compass.com/listing/465-washington-street-unit-2-manhattan-ny-10013/831908576535217577/","465 Washington St, Unit 2")</f>
        <v>465 Washington St, Unit 2</v>
      </c>
      <c r="B11" s="2" t="str">
        <f>HYPERLINK("https://www.compass.com/building/465-washington-street-manhattan-ny/281920073784919813/","465 Washington Street")</f>
        <v>465 Washington Street</v>
      </c>
      <c r="C11" s="1" t="s">
        <v>40</v>
      </c>
      <c r="D11" s="1" t="s">
        <v>41</v>
      </c>
      <c r="E11" s="3">
        <v>4995000</v>
      </c>
      <c r="F11" s="1">
        <v>1800</v>
      </c>
      <c r="G11" s="1">
        <v>6</v>
      </c>
      <c r="H11" s="1">
        <v>3</v>
      </c>
      <c r="I11" s="1">
        <v>4</v>
      </c>
      <c r="J11" s="1">
        <v>3.5</v>
      </c>
      <c r="K11" s="1">
        <v>3</v>
      </c>
      <c r="L11" s="1">
        <v>1</v>
      </c>
      <c r="M11" s="4">
        <v>2775</v>
      </c>
      <c r="N11" s="1">
        <v>3111.17</v>
      </c>
      <c r="O11" s="1">
        <v>6759.16</v>
      </c>
      <c r="P11" s="1">
        <v>3648</v>
      </c>
      <c r="S11" s="1" t="s">
        <v>42</v>
      </c>
      <c r="T11" s="1" t="s">
        <v>48</v>
      </c>
      <c r="U11" s="1">
        <v>27</v>
      </c>
      <c r="V11" s="5">
        <v>44421</v>
      </c>
      <c r="W11" s="5">
        <v>44400</v>
      </c>
      <c r="X11" s="1">
        <v>4995000</v>
      </c>
      <c r="AB11" s="1" t="s">
        <v>44</v>
      </c>
      <c r="AF11" s="1">
        <v>10013</v>
      </c>
      <c r="AI11" s="1" t="s">
        <v>60</v>
      </c>
      <c r="AJ11" s="1">
        <v>2020</v>
      </c>
      <c r="AK11" s="1" t="s">
        <v>61</v>
      </c>
      <c r="AL11" s="1">
        <v>9</v>
      </c>
    </row>
    <row r="12" spans="1:39" x14ac:dyDescent="0.2">
      <c r="A12" s="2" t="str">
        <f>HYPERLINK("https://www.compass.com/listing/91-leonard-street-unit-13c-manhattan-ny-10013/831957398514933505/","91 Leonard St, Unit 13C")</f>
        <v>91 Leonard St, Unit 13C</v>
      </c>
      <c r="B12" s="2" t="str">
        <f>HYPERLINK("https://www.compass.com/building/91-leonard-manhattan-ny/282058661633754165/","91 Leonard")</f>
        <v>91 Leonard</v>
      </c>
      <c r="C12" s="1" t="s">
        <v>40</v>
      </c>
      <c r="D12" s="1" t="s">
        <v>41</v>
      </c>
      <c r="E12" s="3">
        <v>5454500</v>
      </c>
      <c r="F12" s="1">
        <v>2884.4526705446801</v>
      </c>
      <c r="G12" s="1">
        <v>4</v>
      </c>
      <c r="H12" s="1">
        <v>3</v>
      </c>
      <c r="I12" s="1">
        <v>4</v>
      </c>
      <c r="J12" s="1">
        <v>3.5</v>
      </c>
      <c r="K12" s="1">
        <v>3</v>
      </c>
      <c r="L12" s="1">
        <v>1</v>
      </c>
      <c r="M12" s="4">
        <v>1891</v>
      </c>
      <c r="N12" s="1">
        <v>2322</v>
      </c>
      <c r="O12" s="1">
        <v>4667</v>
      </c>
      <c r="P12" s="1">
        <v>2345</v>
      </c>
      <c r="S12" s="1" t="s">
        <v>42</v>
      </c>
      <c r="T12" s="1" t="s">
        <v>48</v>
      </c>
      <c r="U12" s="1">
        <v>27</v>
      </c>
      <c r="V12" s="5">
        <v>44412</v>
      </c>
      <c r="W12" s="5">
        <v>44400</v>
      </c>
      <c r="X12" s="1">
        <v>5454500</v>
      </c>
      <c r="AB12" s="1" t="s">
        <v>44</v>
      </c>
      <c r="AF12" s="1">
        <v>10013</v>
      </c>
      <c r="AI12" s="1" t="s">
        <v>56</v>
      </c>
      <c r="AJ12" s="1">
        <v>2016</v>
      </c>
      <c r="AK12" s="1" t="s">
        <v>50</v>
      </c>
      <c r="AL12" s="1">
        <v>111</v>
      </c>
    </row>
    <row r="13" spans="1:39" x14ac:dyDescent="0.2">
      <c r="A13" s="2" t="str">
        <f>HYPERLINK("https://www.compass.com/listing/465-washington-street-unit-7-manhattan-ny-10013/831909017247600497/","465 Washington St, Unit 7")</f>
        <v>465 Washington St, Unit 7</v>
      </c>
      <c r="B13" s="2" t="str">
        <f>HYPERLINK("https://www.compass.com/building/465-washington-street-manhattan-ny/281920073784919813/","465 Washington Street")</f>
        <v>465 Washington Street</v>
      </c>
      <c r="C13" s="1" t="s">
        <v>40</v>
      </c>
      <c r="D13" s="1" t="s">
        <v>41</v>
      </c>
      <c r="E13" s="3">
        <v>4395000</v>
      </c>
      <c r="F13" s="1">
        <v>2242.3469387755099</v>
      </c>
      <c r="G13" s="1">
        <v>6</v>
      </c>
      <c r="H13" s="1">
        <v>3</v>
      </c>
      <c r="I13" s="1">
        <v>3</v>
      </c>
      <c r="J13" s="1">
        <v>2.5</v>
      </c>
      <c r="K13" s="1">
        <v>2</v>
      </c>
      <c r="L13" s="1">
        <v>1</v>
      </c>
      <c r="M13" s="4">
        <v>1960</v>
      </c>
      <c r="N13" s="1">
        <v>2197.44</v>
      </c>
      <c r="O13" s="1">
        <v>4774.04</v>
      </c>
      <c r="P13" s="1">
        <v>2576.5833333333298</v>
      </c>
      <c r="S13" s="1" t="s">
        <v>42</v>
      </c>
      <c r="T13" s="1" t="s">
        <v>48</v>
      </c>
      <c r="U13" s="1">
        <v>27</v>
      </c>
      <c r="V13" s="5">
        <v>44421</v>
      </c>
      <c r="W13" s="5">
        <v>44400</v>
      </c>
      <c r="X13" s="1">
        <v>4395000</v>
      </c>
      <c r="AB13" s="1" t="s">
        <v>44</v>
      </c>
      <c r="AF13" s="1">
        <v>10013</v>
      </c>
      <c r="AI13" s="1" t="s">
        <v>60</v>
      </c>
      <c r="AJ13" s="1">
        <v>2020</v>
      </c>
      <c r="AK13" s="1" t="s">
        <v>61</v>
      </c>
      <c r="AL13" s="1">
        <v>9</v>
      </c>
    </row>
    <row r="14" spans="1:39" x14ac:dyDescent="0.2">
      <c r="A14" s="2" t="str">
        <f>HYPERLINK("https://www.compass.com/listing/421-west-22nd-street-unit-1-manhattan-ny-10011/789932723973775169/","421 W 22nd St, Unit 1")</f>
        <v>421 W 22nd St, Unit 1</v>
      </c>
      <c r="B14" s="2" t="str">
        <f>HYPERLINK("https://www.compass.com/building/421-w-22nd-st-manhattan-ny-10011/281910201349594997/","421 W 22nd St")</f>
        <v>421 W 22nd St</v>
      </c>
      <c r="C14" s="1" t="s">
        <v>62</v>
      </c>
      <c r="D14" s="1" t="s">
        <v>41</v>
      </c>
      <c r="E14" s="3">
        <v>3900000</v>
      </c>
      <c r="F14" s="1">
        <v>2128.8209606986802</v>
      </c>
      <c r="G14" s="1">
        <v>6</v>
      </c>
      <c r="H14" s="1">
        <v>3</v>
      </c>
      <c r="I14" s="1">
        <v>2</v>
      </c>
      <c r="J14" s="1">
        <v>2</v>
      </c>
      <c r="K14" s="1">
        <v>2</v>
      </c>
      <c r="M14" s="4">
        <v>1832</v>
      </c>
      <c r="N14" s="1">
        <v>1202.51</v>
      </c>
      <c r="O14" s="1">
        <v>2722.48</v>
      </c>
      <c r="P14" s="1">
        <v>1520</v>
      </c>
      <c r="S14" s="1" t="s">
        <v>42</v>
      </c>
      <c r="T14" s="1" t="s">
        <v>48</v>
      </c>
      <c r="U14" s="1">
        <v>83</v>
      </c>
      <c r="V14" s="5">
        <v>44427</v>
      </c>
      <c r="W14" s="5">
        <v>44344</v>
      </c>
      <c r="X14" s="1">
        <v>3900000</v>
      </c>
      <c r="AB14" s="1" t="s">
        <v>44</v>
      </c>
      <c r="AD14" s="1" t="s">
        <v>63</v>
      </c>
      <c r="AE14" s="1" t="s">
        <v>64</v>
      </c>
      <c r="AF14" s="1">
        <v>10011</v>
      </c>
      <c r="AI14" s="1" t="s">
        <v>65</v>
      </c>
      <c r="AJ14" s="1">
        <v>1900</v>
      </c>
      <c r="AL14" s="1">
        <v>8</v>
      </c>
    </row>
    <row r="15" spans="1:39" x14ac:dyDescent="0.2">
      <c r="A15" s="2" t="str">
        <f>HYPERLINK("https://www.compass.com/listing/225-west-86th-street-unit-412a-manhattan-ny-10024/812328899599853089/","225 W 86th St, Unit 412A")</f>
        <v>225 W 86th St, Unit 412A</v>
      </c>
      <c r="B15" s="2" t="str">
        <f>HYPERLINK("https://www.compass.com/building/the-belnord-manhattan-ny/292869672083214101/","The Belnord")</f>
        <v>The Belnord</v>
      </c>
      <c r="C15" s="1" t="s">
        <v>47</v>
      </c>
      <c r="D15" s="1" t="s">
        <v>41</v>
      </c>
      <c r="E15" s="3">
        <v>2450000</v>
      </c>
      <c r="F15" s="1">
        <v>1751.2508934953501</v>
      </c>
      <c r="G15" s="1">
        <v>5</v>
      </c>
      <c r="H15" s="1">
        <v>2</v>
      </c>
      <c r="I15" s="1">
        <v>2</v>
      </c>
      <c r="J15" s="1">
        <v>2</v>
      </c>
      <c r="K15" s="1">
        <v>2</v>
      </c>
      <c r="M15" s="4">
        <v>1399</v>
      </c>
      <c r="N15" s="1">
        <v>1210</v>
      </c>
      <c r="O15" s="1">
        <v>3406</v>
      </c>
      <c r="P15" s="1">
        <v>2196</v>
      </c>
      <c r="S15" s="1" t="s">
        <v>42</v>
      </c>
      <c r="T15" s="1" t="s">
        <v>48</v>
      </c>
      <c r="U15" s="1">
        <v>54</v>
      </c>
      <c r="V15" s="5">
        <v>44427</v>
      </c>
      <c r="W15" s="5">
        <v>44373</v>
      </c>
      <c r="X15" s="1">
        <v>2450000</v>
      </c>
      <c r="AB15" s="1" t="s">
        <v>44</v>
      </c>
      <c r="AD15" s="1" t="s">
        <v>66</v>
      </c>
      <c r="AE15" s="1" t="s">
        <v>64</v>
      </c>
      <c r="AF15" s="1">
        <v>10024</v>
      </c>
      <c r="AI15" s="1" t="s">
        <v>67</v>
      </c>
      <c r="AJ15" s="1">
        <v>1908</v>
      </c>
      <c r="AK15" s="1" t="s">
        <v>50</v>
      </c>
      <c r="AL15" s="1">
        <v>213</v>
      </c>
    </row>
    <row r="16" spans="1:39" x14ac:dyDescent="0.2">
      <c r="A16" s="2" t="str">
        <f>HYPERLINK("https://www.compass.com/listing/30-park-place-unit-ph76b-manhattan-ny-10007/611539392206635265/","30 Park Pl, Unit PH76B")</f>
        <v>30 Park Pl, Unit PH76B</v>
      </c>
      <c r="B16" s="2" t="str">
        <f>HYPERLINK("https://www.compass.com/building/30-park-pl-manhattan-ny-10007/281896912905317605/","30 Park Pl")</f>
        <v>30 Park Pl</v>
      </c>
      <c r="C16" s="1" t="s">
        <v>40</v>
      </c>
      <c r="D16" s="1" t="s">
        <v>41</v>
      </c>
      <c r="E16" s="3">
        <v>13850000</v>
      </c>
      <c r="F16" s="1">
        <v>4364.9543019224702</v>
      </c>
      <c r="G16" s="1">
        <v>6.5</v>
      </c>
      <c r="H16" s="1">
        <v>3</v>
      </c>
      <c r="I16" s="1">
        <v>5</v>
      </c>
      <c r="J16" s="1">
        <v>4.5</v>
      </c>
      <c r="K16" s="1">
        <v>4</v>
      </c>
      <c r="L16" s="1">
        <v>1</v>
      </c>
      <c r="M16" s="4">
        <v>3173</v>
      </c>
      <c r="N16" s="1">
        <v>2924</v>
      </c>
      <c r="O16" s="1">
        <v>10586</v>
      </c>
      <c r="P16" s="1">
        <v>7662</v>
      </c>
      <c r="S16" s="1" t="s">
        <v>42</v>
      </c>
      <c r="T16" s="1" t="s">
        <v>48</v>
      </c>
      <c r="U16" s="1">
        <v>323</v>
      </c>
      <c r="V16" s="5">
        <v>44372</v>
      </c>
      <c r="W16" s="5">
        <v>44103</v>
      </c>
      <c r="X16" s="1">
        <v>13850000</v>
      </c>
      <c r="AB16" s="1" t="s">
        <v>44</v>
      </c>
      <c r="AF16" s="1">
        <v>10007</v>
      </c>
      <c r="AJ16" s="1">
        <v>2016</v>
      </c>
      <c r="AK16" s="1" t="s">
        <v>50</v>
      </c>
      <c r="AL16" s="1">
        <v>157</v>
      </c>
    </row>
    <row r="17" spans="1:38" x14ac:dyDescent="0.2">
      <c r="A17" s="2" t="str">
        <f>HYPERLINK("https://www.compass.com/listing/91-leonard-street-unit-15e-manhattan-ny-10013/826174212084504537/","91 Leonard St, Unit 15E")</f>
        <v>91 Leonard St, Unit 15E</v>
      </c>
      <c r="B17" s="2" t="str">
        <f>HYPERLINK("https://www.compass.com/building/91-leonard-manhattan-ny/282058661633754165/","91 Leonard")</f>
        <v>91 Leonard</v>
      </c>
      <c r="C17" s="1" t="s">
        <v>40</v>
      </c>
      <c r="D17" s="1" t="s">
        <v>41</v>
      </c>
      <c r="E17" s="3">
        <v>6048000</v>
      </c>
      <c r="F17" s="1">
        <v>3189.8734177215101</v>
      </c>
      <c r="G17" s="1">
        <v>4</v>
      </c>
      <c r="H17" s="1">
        <v>3</v>
      </c>
      <c r="I17" s="1">
        <v>3</v>
      </c>
      <c r="J17" s="1">
        <v>3</v>
      </c>
      <c r="K17" s="1">
        <v>3</v>
      </c>
      <c r="M17" s="4">
        <v>1896</v>
      </c>
      <c r="N17" s="1">
        <v>2338</v>
      </c>
      <c r="O17" s="1">
        <v>4699</v>
      </c>
      <c r="P17" s="1">
        <v>2361</v>
      </c>
      <c r="S17" s="1" t="s">
        <v>42</v>
      </c>
      <c r="T17" s="1" t="s">
        <v>48</v>
      </c>
      <c r="U17" s="1">
        <v>35</v>
      </c>
      <c r="V17" s="5">
        <v>44400</v>
      </c>
      <c r="W17" s="5">
        <v>44392</v>
      </c>
      <c r="X17" s="1">
        <v>6048000</v>
      </c>
      <c r="AB17" s="1" t="s">
        <v>44</v>
      </c>
      <c r="AF17" s="1">
        <v>10013</v>
      </c>
      <c r="AI17" s="1" t="s">
        <v>56</v>
      </c>
      <c r="AJ17" s="1">
        <v>2016</v>
      </c>
      <c r="AK17" s="1" t="s">
        <v>50</v>
      </c>
      <c r="AL17" s="1">
        <v>111</v>
      </c>
    </row>
    <row r="18" spans="1:38" x14ac:dyDescent="0.2">
      <c r="A18" s="2" t="str">
        <f>HYPERLINK("https://www.compass.com/listing/360-central-park-west-unit-8h-manhattan-ny-10025/784005404059585241/","360 Central Park W, Unit 8H")</f>
        <v>360 Central Park W, Unit 8H</v>
      </c>
      <c r="B18" s="2" t="str">
        <f>HYPERLINK("https://www.compass.com/building/360-central-park-west-manhattan-ny/281971555427243781/","360 Central Park West")</f>
        <v>360 Central Park West</v>
      </c>
      <c r="C18" s="1" t="s">
        <v>47</v>
      </c>
      <c r="D18" s="1" t="s">
        <v>41</v>
      </c>
      <c r="E18" s="3">
        <v>5595000</v>
      </c>
      <c r="F18" s="1">
        <v>1902.4141448486901</v>
      </c>
      <c r="G18" s="1">
        <v>7</v>
      </c>
      <c r="H18" s="1">
        <v>4</v>
      </c>
      <c r="I18" s="1">
        <v>4</v>
      </c>
      <c r="J18" s="1">
        <v>4</v>
      </c>
      <c r="K18" s="1">
        <v>4</v>
      </c>
      <c r="M18" s="4">
        <v>2941</v>
      </c>
      <c r="N18" s="1">
        <v>3319.38</v>
      </c>
      <c r="O18" s="1">
        <v>5774.13</v>
      </c>
      <c r="P18" s="1">
        <v>2454.75</v>
      </c>
      <c r="S18" s="1" t="s">
        <v>42</v>
      </c>
      <c r="T18" s="1" t="s">
        <v>48</v>
      </c>
      <c r="U18" s="1">
        <v>92</v>
      </c>
      <c r="V18" s="5">
        <v>44389</v>
      </c>
      <c r="W18" s="5">
        <v>44335</v>
      </c>
      <c r="X18" s="1">
        <v>5895000</v>
      </c>
      <c r="AB18" s="1" t="s">
        <v>44</v>
      </c>
      <c r="AF18" s="1">
        <v>10025</v>
      </c>
      <c r="AJ18" s="1">
        <v>1929</v>
      </c>
      <c r="AK18" s="1" t="s">
        <v>55</v>
      </c>
      <c r="AL18" s="1">
        <v>126</v>
      </c>
    </row>
    <row r="19" spans="1:38" x14ac:dyDescent="0.2">
      <c r="A19" s="2" t="str">
        <f>HYPERLINK("https://www.compass.com/listing/275-west-10th-street-unit-11a-manhattan-ny-10014/779129695659208441/","275 W 10th St, Unit 11A")</f>
        <v>275 W 10th St, Unit 11A</v>
      </c>
      <c r="B19" s="2" t="str">
        <f>HYPERLINK("https://www.compass.com/building/the-shephard-manhattan-ny/281931968864632917/","The Shephard")</f>
        <v>The Shephard</v>
      </c>
      <c r="C19" s="1" t="s">
        <v>68</v>
      </c>
      <c r="D19" s="1" t="s">
        <v>41</v>
      </c>
      <c r="E19" s="3">
        <v>1595000</v>
      </c>
      <c r="F19" s="1">
        <v>2272.07977207977</v>
      </c>
      <c r="G19" s="1">
        <v>2</v>
      </c>
      <c r="H19" s="1" t="s">
        <v>69</v>
      </c>
      <c r="I19" s="1">
        <v>1</v>
      </c>
      <c r="J19" s="1">
        <v>1</v>
      </c>
      <c r="K19" s="1">
        <v>1</v>
      </c>
      <c r="M19" s="1">
        <v>702</v>
      </c>
      <c r="N19" s="1">
        <v>665.74</v>
      </c>
      <c r="O19" s="1">
        <v>1661.28</v>
      </c>
      <c r="P19" s="1">
        <v>995.5</v>
      </c>
      <c r="S19" s="1" t="s">
        <v>42</v>
      </c>
      <c r="T19" s="1" t="s">
        <v>48</v>
      </c>
      <c r="U19" s="1">
        <v>100</v>
      </c>
      <c r="V19" s="5">
        <v>44365</v>
      </c>
      <c r="W19" s="5">
        <v>44327</v>
      </c>
      <c r="X19" s="1">
        <v>1695000</v>
      </c>
      <c r="AB19" s="1" t="s">
        <v>44</v>
      </c>
      <c r="AF19" s="1">
        <v>10014</v>
      </c>
      <c r="AI19" s="1" t="s">
        <v>67</v>
      </c>
      <c r="AJ19" s="1">
        <v>2015</v>
      </c>
      <c r="AK19" s="1" t="s">
        <v>50</v>
      </c>
      <c r="AL19" s="1">
        <v>38</v>
      </c>
    </row>
    <row r="20" spans="1:38" x14ac:dyDescent="0.2">
      <c r="A20" s="2" t="str">
        <f>HYPERLINK("https://www.compass.com/listing/465-washington-street-fl-4-manhattan-ny-10013/639753806189623753/","465 Washington St, Unit 4")</f>
        <v>465 Washington St, Unit 4</v>
      </c>
      <c r="B20" s="2" t="str">
        <f>HYPERLINK("https://www.compass.com/building/465-washington-street-manhattan-ny/281920073784919813/","465 Washington Street")</f>
        <v>465 Washington Street</v>
      </c>
      <c r="C20" s="1" t="s">
        <v>40</v>
      </c>
      <c r="D20" s="1" t="s">
        <v>41</v>
      </c>
      <c r="E20" s="3">
        <v>5500000</v>
      </c>
      <c r="F20" s="1">
        <v>1981.98198198198</v>
      </c>
      <c r="G20" s="1">
        <v>8</v>
      </c>
      <c r="H20" s="1">
        <v>4</v>
      </c>
      <c r="I20" s="1">
        <v>4</v>
      </c>
      <c r="J20" s="1">
        <v>3.5</v>
      </c>
      <c r="K20" s="1">
        <v>3</v>
      </c>
      <c r="L20" s="1">
        <v>1</v>
      </c>
      <c r="M20" s="4">
        <v>2775</v>
      </c>
      <c r="N20" s="1">
        <v>3111.17</v>
      </c>
      <c r="O20" s="1">
        <v>6759.16</v>
      </c>
      <c r="P20" s="1">
        <v>3648</v>
      </c>
      <c r="S20" s="1" t="s">
        <v>42</v>
      </c>
      <c r="T20" s="1" t="s">
        <v>48</v>
      </c>
      <c r="U20" s="1">
        <v>292</v>
      </c>
      <c r="V20" s="5">
        <v>44421</v>
      </c>
      <c r="W20" s="5">
        <v>44135</v>
      </c>
      <c r="X20" s="1">
        <v>6000000</v>
      </c>
      <c r="AB20" s="1" t="s">
        <v>44</v>
      </c>
      <c r="AF20" s="1">
        <v>10013</v>
      </c>
      <c r="AI20" s="1" t="s">
        <v>60</v>
      </c>
      <c r="AJ20" s="1">
        <v>2020</v>
      </c>
      <c r="AK20" s="1" t="s">
        <v>61</v>
      </c>
      <c r="AL20" s="1">
        <v>9</v>
      </c>
    </row>
    <row r="21" spans="1:38" x14ac:dyDescent="0.2">
      <c r="A21" s="2" t="str">
        <f>HYPERLINK("https://www.compass.com/listing/555-w-end-ave-unit-the-solarium-penthouse-new-york-ny-10024/296996379037712337/","555 W End Ave, Unit The Solarium Penthouse")</f>
        <v>555 W End Ave, Unit The Solarium Penthouse</v>
      </c>
      <c r="B21" s="2" t="str">
        <f>HYPERLINK("https://www.compass.com/building/555-west-end-avenue-new-york-ny/292874438096018885/","555 West End Avenue")</f>
        <v>555 West End Avenue</v>
      </c>
      <c r="C21" s="1" t="s">
        <v>47</v>
      </c>
      <c r="D21" s="1" t="s">
        <v>70</v>
      </c>
      <c r="E21" s="3">
        <v>18000000</v>
      </c>
      <c r="F21" s="1">
        <v>5263.1578947368398</v>
      </c>
      <c r="G21" s="1">
        <v>6</v>
      </c>
      <c r="H21" s="1">
        <v>3</v>
      </c>
      <c r="I21" s="1">
        <v>4</v>
      </c>
      <c r="J21" s="1">
        <v>3.5</v>
      </c>
      <c r="K21" s="1">
        <v>3</v>
      </c>
      <c r="L21" s="1">
        <v>1</v>
      </c>
      <c r="M21" s="4">
        <v>3420</v>
      </c>
      <c r="N21" s="1">
        <v>5880.14</v>
      </c>
      <c r="O21" s="1">
        <v>15264.14</v>
      </c>
      <c r="P21" s="1">
        <v>9384</v>
      </c>
      <c r="S21" s="1" t="s">
        <v>42</v>
      </c>
      <c r="T21" s="1" t="s">
        <v>48</v>
      </c>
      <c r="U21" s="1">
        <v>671</v>
      </c>
      <c r="V21" s="5">
        <v>44411</v>
      </c>
      <c r="W21" s="5">
        <v>43662</v>
      </c>
      <c r="X21" s="1">
        <v>18000000</v>
      </c>
      <c r="AB21" s="1" t="s">
        <v>44</v>
      </c>
      <c r="AF21" s="1">
        <v>10024</v>
      </c>
      <c r="AI21" s="1" t="s">
        <v>71</v>
      </c>
      <c r="AJ21" s="1">
        <v>2019</v>
      </c>
      <c r="AK21" s="1" t="s">
        <v>55</v>
      </c>
      <c r="AL21" s="1">
        <v>13</v>
      </c>
    </row>
    <row r="22" spans="1:38" x14ac:dyDescent="0.2">
      <c r="A22" s="2" t="str">
        <f>HYPERLINK("https://www.compass.com/listing/555-west-end-avenue-unit-3w-manhattan-ny-10024/297171919577329473/","555 W End Ave, Unit 3W")</f>
        <v>555 W End Ave, Unit 3W</v>
      </c>
      <c r="B22" s="2" t="str">
        <f t="shared" ref="B22:B23" si="2">HYPERLINK("https://www.compass.com/building/555-west-end-avenue-manhattan-ny/292874438096018885/","555 West End Avenue")</f>
        <v>555 West End Avenue</v>
      </c>
      <c r="C22" s="1" t="s">
        <v>47</v>
      </c>
      <c r="D22" s="1" t="s">
        <v>41</v>
      </c>
      <c r="E22" s="3">
        <v>7500000</v>
      </c>
      <c r="F22" s="1">
        <v>2761.41384388807</v>
      </c>
      <c r="G22" s="1">
        <v>6</v>
      </c>
      <c r="H22" s="1">
        <v>4</v>
      </c>
      <c r="I22" s="1">
        <v>5</v>
      </c>
      <c r="J22" s="1">
        <v>4.5</v>
      </c>
      <c r="K22" s="1">
        <v>4</v>
      </c>
      <c r="L22" s="1">
        <v>1</v>
      </c>
      <c r="M22" s="4">
        <v>2716</v>
      </c>
      <c r="N22" s="1">
        <v>3735.9</v>
      </c>
      <c r="O22" s="1">
        <v>9697.9</v>
      </c>
      <c r="P22" s="1">
        <v>5962</v>
      </c>
      <c r="S22" s="1" t="s">
        <v>42</v>
      </c>
      <c r="T22" s="1" t="s">
        <v>48</v>
      </c>
      <c r="U22" s="1">
        <v>671</v>
      </c>
      <c r="V22" s="5">
        <v>44394</v>
      </c>
      <c r="W22" s="5">
        <v>43662</v>
      </c>
      <c r="X22" s="1">
        <v>7900000</v>
      </c>
      <c r="AB22" s="1" t="s">
        <v>44</v>
      </c>
      <c r="AF22" s="1">
        <v>10024</v>
      </c>
      <c r="AJ22" s="1">
        <v>2019</v>
      </c>
      <c r="AK22" s="1" t="s">
        <v>55</v>
      </c>
      <c r="AL22" s="1">
        <v>13</v>
      </c>
    </row>
    <row r="23" spans="1:38" x14ac:dyDescent="0.2">
      <c r="A23" s="2" t="str">
        <f>HYPERLINK("https://www.compass.com/listing/555-west-end-avenue-unit-the-terrace-penthouse-manhattan-ny-10024/556541357811287177/","555 W End Ave, Unit The Terrace Penthouse")</f>
        <v>555 W End Ave, Unit The Terrace Penthouse</v>
      </c>
      <c r="B23" s="2" t="str">
        <f t="shared" si="2"/>
        <v>555 West End Avenue</v>
      </c>
      <c r="C23" s="1" t="s">
        <v>47</v>
      </c>
      <c r="D23" s="1" t="s">
        <v>41</v>
      </c>
      <c r="E23" s="3">
        <v>22500000</v>
      </c>
      <c r="F23" s="1">
        <v>4491.9145538031498</v>
      </c>
      <c r="G23" s="1">
        <v>9</v>
      </c>
      <c r="H23" s="1">
        <v>4</v>
      </c>
      <c r="I23" s="1">
        <v>5</v>
      </c>
      <c r="J23" s="1">
        <v>4.5</v>
      </c>
      <c r="K23" s="1">
        <v>4</v>
      </c>
      <c r="L23" s="1">
        <v>1</v>
      </c>
      <c r="M23" s="4">
        <v>5009</v>
      </c>
      <c r="N23" s="1">
        <v>7923</v>
      </c>
      <c r="O23" s="1">
        <v>20567</v>
      </c>
      <c r="P23" s="1">
        <v>12644</v>
      </c>
      <c r="S23" s="1" t="s">
        <v>42</v>
      </c>
      <c r="T23" s="1" t="s">
        <v>48</v>
      </c>
      <c r="U23" s="1">
        <v>407</v>
      </c>
      <c r="V23" s="5">
        <v>44365</v>
      </c>
      <c r="W23" s="5">
        <v>44020</v>
      </c>
      <c r="X23" s="1">
        <v>22500000</v>
      </c>
      <c r="AB23" s="1" t="s">
        <v>44</v>
      </c>
      <c r="AF23" s="1">
        <v>10024</v>
      </c>
      <c r="AI23" s="1" t="s">
        <v>72</v>
      </c>
      <c r="AJ23" s="1">
        <v>2019</v>
      </c>
      <c r="AK23" s="1" t="s">
        <v>55</v>
      </c>
      <c r="AL23" s="1">
        <v>13</v>
      </c>
    </row>
    <row r="24" spans="1:38" x14ac:dyDescent="0.2">
      <c r="A24" s="2" t="str">
        <f>HYPERLINK("https://www.compass.com/listing/308-west-30th-street-unit-1a-manhattan-ny-10001/765881485267953273/","308 W 30th St, Unit 1A")</f>
        <v>308 W 30th St, Unit 1A</v>
      </c>
      <c r="B24" s="2" t="str">
        <f>HYPERLINK("https://www.compass.com/building/the-irvin-house-manhattan-ny/281883290133070869/","The Irvin House")</f>
        <v>The Irvin House</v>
      </c>
      <c r="C24" s="1" t="s">
        <v>62</v>
      </c>
      <c r="D24" s="1" t="s">
        <v>41</v>
      </c>
      <c r="E24" s="3">
        <v>555000</v>
      </c>
      <c r="F24" s="1">
        <v>1296.7289719626101</v>
      </c>
      <c r="G24" s="1">
        <v>2</v>
      </c>
      <c r="H24" s="1">
        <v>1</v>
      </c>
      <c r="I24" s="1">
        <v>1</v>
      </c>
      <c r="J24" s="1">
        <v>1</v>
      </c>
      <c r="K24" s="1">
        <v>1</v>
      </c>
      <c r="M24" s="1">
        <v>428</v>
      </c>
      <c r="N24" s="1">
        <v>324</v>
      </c>
      <c r="O24" s="1">
        <v>826</v>
      </c>
      <c r="P24" s="1">
        <v>502</v>
      </c>
      <c r="S24" s="1" t="s">
        <v>42</v>
      </c>
      <c r="T24" s="1" t="s">
        <v>48</v>
      </c>
      <c r="U24" s="1">
        <v>88</v>
      </c>
      <c r="V24" s="5">
        <v>44357</v>
      </c>
      <c r="W24" s="5">
        <v>44339</v>
      </c>
      <c r="X24" s="1">
        <v>555000</v>
      </c>
      <c r="AB24" s="1" t="s">
        <v>44</v>
      </c>
      <c r="AF24" s="1">
        <v>10001</v>
      </c>
      <c r="AI24" s="1" t="s">
        <v>73</v>
      </c>
      <c r="AJ24" s="1">
        <v>1925</v>
      </c>
      <c r="AL24" s="1">
        <v>61</v>
      </c>
    </row>
    <row r="25" spans="1:38" x14ac:dyDescent="0.2">
      <c r="A25" s="2" t="str">
        <f>HYPERLINK("https://www.compass.com/listing/555-west-end-avenue-unit-penthouse-manhattan-ny-10024/743394163336465425/","555 W End Ave, Unit Penthouse")</f>
        <v>555 W End Ave, Unit Penthouse</v>
      </c>
      <c r="B25" s="2" t="str">
        <f>HYPERLINK("https://www.compass.com/building/555-west-end-avenue-manhattan-ny/292874438096018885/","555 West End Avenue")</f>
        <v>555 West End Avenue</v>
      </c>
      <c r="C25" s="1" t="s">
        <v>47</v>
      </c>
      <c r="D25" s="1" t="s">
        <v>41</v>
      </c>
      <c r="E25" s="3">
        <v>42000000</v>
      </c>
      <c r="F25" s="1">
        <v>4982.7974848736503</v>
      </c>
      <c r="G25" s="1">
        <v>15</v>
      </c>
      <c r="H25" s="1">
        <v>6</v>
      </c>
      <c r="I25" s="1">
        <v>8</v>
      </c>
      <c r="J25" s="1">
        <v>6.5</v>
      </c>
      <c r="K25" s="1">
        <v>6</v>
      </c>
      <c r="L25" s="1">
        <v>2</v>
      </c>
      <c r="M25" s="4">
        <v>8429</v>
      </c>
      <c r="N25" s="1">
        <v>13803</v>
      </c>
      <c r="O25" s="1">
        <v>35831</v>
      </c>
      <c r="P25" s="1">
        <v>22028</v>
      </c>
      <c r="S25" s="1" t="s">
        <v>42</v>
      </c>
      <c r="T25" s="1" t="s">
        <v>48</v>
      </c>
      <c r="U25" s="1">
        <v>149</v>
      </c>
      <c r="V25" s="5">
        <v>44411</v>
      </c>
      <c r="W25" s="5">
        <v>44278</v>
      </c>
      <c r="X25" s="1">
        <v>42000000</v>
      </c>
      <c r="AB25" s="1" t="s">
        <v>44</v>
      </c>
      <c r="AF25" s="1">
        <v>10024</v>
      </c>
      <c r="AI25" s="1" t="s">
        <v>72</v>
      </c>
      <c r="AJ25" s="1">
        <v>2019</v>
      </c>
      <c r="AK25" s="1" t="s">
        <v>55</v>
      </c>
      <c r="AL25" s="1">
        <v>13</v>
      </c>
    </row>
    <row r="26" spans="1:38" x14ac:dyDescent="0.2">
      <c r="A26" s="2" t="str">
        <f>HYPERLINK("https://www.compass.com/listing/302-east-96th-street-unit-302-manhattan-ny-10128/794850046172349537/","302 E 96th St, Unit 302")</f>
        <v>302 E 96th St, Unit 302</v>
      </c>
      <c r="B26" s="2" t="str">
        <f t="shared" ref="B26:B29" si="3">HYPERLINK("https://www.compass.com/building/302-e-96th-st-manhattan-ny/282050840162756469/","302 E 96th St")</f>
        <v>302 E 96th St</v>
      </c>
      <c r="C26" s="1" t="s">
        <v>53</v>
      </c>
      <c r="D26" s="1" t="s">
        <v>41</v>
      </c>
      <c r="E26" s="3">
        <v>1265000</v>
      </c>
      <c r="F26" s="1">
        <v>1292.1348314606701</v>
      </c>
      <c r="G26" s="1">
        <v>4</v>
      </c>
      <c r="H26" s="1">
        <v>1</v>
      </c>
      <c r="I26" s="1">
        <v>2</v>
      </c>
      <c r="J26" s="1">
        <v>2</v>
      </c>
      <c r="K26" s="1">
        <v>2</v>
      </c>
      <c r="M26" s="1">
        <v>979</v>
      </c>
      <c r="N26" s="1">
        <v>986</v>
      </c>
      <c r="O26" s="1">
        <v>1833</v>
      </c>
      <c r="P26" s="1">
        <v>847</v>
      </c>
      <c r="S26" s="1" t="s">
        <v>42</v>
      </c>
      <c r="T26" s="1" t="s">
        <v>48</v>
      </c>
      <c r="U26" s="1">
        <v>78</v>
      </c>
      <c r="V26" s="5">
        <v>44349</v>
      </c>
      <c r="W26" s="5">
        <v>44349</v>
      </c>
      <c r="X26" s="1">
        <v>1265000</v>
      </c>
      <c r="AB26" s="1" t="s">
        <v>44</v>
      </c>
      <c r="AF26" s="1">
        <v>10128</v>
      </c>
      <c r="AI26" s="1" t="s">
        <v>74</v>
      </c>
      <c r="AJ26" s="1">
        <v>2018</v>
      </c>
      <c r="AK26" s="1" t="s">
        <v>55</v>
      </c>
      <c r="AL26" s="1">
        <v>48</v>
      </c>
    </row>
    <row r="27" spans="1:38" x14ac:dyDescent="0.2">
      <c r="A27" s="2" t="str">
        <f>HYPERLINK("https://www.compass.com/listing/302-east-96th-street-unit-601-manhattan-ny-10128/784857032469210537/","302 E 96th St, Unit 601")</f>
        <v>302 E 96th St, Unit 601</v>
      </c>
      <c r="B27" s="2" t="str">
        <f t="shared" si="3"/>
        <v>302 E 96th St</v>
      </c>
      <c r="C27" s="1" t="s">
        <v>53</v>
      </c>
      <c r="D27" s="1" t="s">
        <v>41</v>
      </c>
      <c r="E27" s="3">
        <v>830000</v>
      </c>
      <c r="F27" s="1">
        <v>1590.03831417624</v>
      </c>
      <c r="G27" s="1">
        <v>3</v>
      </c>
      <c r="H27" s="1">
        <v>1</v>
      </c>
      <c r="I27" s="1">
        <v>1</v>
      </c>
      <c r="J27" s="1">
        <v>1</v>
      </c>
      <c r="K27" s="1">
        <v>1</v>
      </c>
      <c r="M27" s="1">
        <v>522</v>
      </c>
      <c r="N27" s="1">
        <v>532</v>
      </c>
      <c r="O27" s="1">
        <v>989</v>
      </c>
      <c r="P27" s="1">
        <v>457</v>
      </c>
      <c r="S27" s="1" t="s">
        <v>42</v>
      </c>
      <c r="T27" s="1" t="s">
        <v>48</v>
      </c>
      <c r="U27" s="1">
        <v>92</v>
      </c>
      <c r="V27" s="5">
        <v>44335</v>
      </c>
      <c r="W27" s="5">
        <v>44335</v>
      </c>
      <c r="X27" s="1">
        <v>830000</v>
      </c>
      <c r="AB27" s="1" t="s">
        <v>44</v>
      </c>
      <c r="AF27" s="1">
        <v>10128</v>
      </c>
      <c r="AI27" s="1" t="s">
        <v>74</v>
      </c>
      <c r="AJ27" s="1">
        <v>2018</v>
      </c>
      <c r="AK27" s="1" t="s">
        <v>55</v>
      </c>
      <c r="AL27" s="1">
        <v>48</v>
      </c>
    </row>
    <row r="28" spans="1:38" x14ac:dyDescent="0.2">
      <c r="A28" s="2" t="str">
        <f>HYPERLINK("https://www.compass.com/listing/302-east-96th-street-unit-303-manhattan-ny-10128/739162884641753673/","302 E 96th St, Unit 303")</f>
        <v>302 E 96th St, Unit 303</v>
      </c>
      <c r="B28" s="2" t="str">
        <f t="shared" si="3"/>
        <v>302 E 96th St</v>
      </c>
      <c r="C28" s="1" t="s">
        <v>53</v>
      </c>
      <c r="D28" s="1" t="s">
        <v>41</v>
      </c>
      <c r="E28" s="3">
        <v>1795000</v>
      </c>
      <c r="F28" s="1">
        <v>1266.7607621735999</v>
      </c>
      <c r="G28" s="1">
        <v>5</v>
      </c>
      <c r="H28" s="1">
        <v>2</v>
      </c>
      <c r="I28" s="1">
        <v>3</v>
      </c>
      <c r="J28" s="1">
        <v>3</v>
      </c>
      <c r="K28" s="1">
        <v>3</v>
      </c>
      <c r="M28" s="4">
        <v>1417</v>
      </c>
      <c r="N28" s="1">
        <v>1437.2</v>
      </c>
      <c r="O28" s="1">
        <v>2672.14</v>
      </c>
      <c r="P28" s="1">
        <v>1234.9166666666599</v>
      </c>
      <c r="S28" s="1" t="s">
        <v>42</v>
      </c>
      <c r="T28" s="1" t="s">
        <v>48</v>
      </c>
      <c r="U28" s="1">
        <v>155</v>
      </c>
      <c r="V28" s="5">
        <v>44384</v>
      </c>
      <c r="W28" s="5">
        <v>44272</v>
      </c>
      <c r="X28" s="1">
        <v>1795000</v>
      </c>
      <c r="AB28" s="1" t="s">
        <v>44</v>
      </c>
      <c r="AF28" s="1">
        <v>10128</v>
      </c>
      <c r="AI28" s="1" t="s">
        <v>54</v>
      </c>
      <c r="AJ28" s="1">
        <v>2018</v>
      </c>
      <c r="AK28" s="1" t="s">
        <v>55</v>
      </c>
      <c r="AL28" s="1">
        <v>48</v>
      </c>
    </row>
    <row r="29" spans="1:38" x14ac:dyDescent="0.2">
      <c r="A29" s="2" t="str">
        <f>HYPERLINK("https://www.compass.com/listing/302-east-96th-street-unit-ph5-manhattan-ny-10128/739162807466556281/","302 E 96th St, Unit PH5")</f>
        <v>302 E 96th St, Unit PH5</v>
      </c>
      <c r="B29" s="2" t="str">
        <f t="shared" si="3"/>
        <v>302 E 96th St</v>
      </c>
      <c r="C29" s="1" t="s">
        <v>53</v>
      </c>
      <c r="D29" s="1" t="s">
        <v>41</v>
      </c>
      <c r="E29" s="3">
        <v>3950000</v>
      </c>
      <c r="F29" s="1">
        <v>1724.89082969432</v>
      </c>
      <c r="G29" s="1">
        <v>5</v>
      </c>
      <c r="H29" s="1">
        <v>3</v>
      </c>
      <c r="I29" s="1">
        <v>3</v>
      </c>
      <c r="J29" s="1">
        <v>3</v>
      </c>
      <c r="K29" s="1">
        <v>3</v>
      </c>
      <c r="M29" s="4">
        <v>2290</v>
      </c>
      <c r="N29" s="1">
        <v>2792.87</v>
      </c>
      <c r="O29" s="1">
        <v>5192.7299999999996</v>
      </c>
      <c r="P29" s="1">
        <v>2399.8333333333298</v>
      </c>
      <c r="S29" s="1" t="s">
        <v>42</v>
      </c>
      <c r="T29" s="1" t="s">
        <v>48</v>
      </c>
      <c r="U29" s="1">
        <v>155</v>
      </c>
      <c r="V29" s="5">
        <v>44342</v>
      </c>
      <c r="W29" s="5">
        <v>44272</v>
      </c>
      <c r="X29" s="1">
        <v>3950000</v>
      </c>
      <c r="AB29" s="1" t="s">
        <v>44</v>
      </c>
      <c r="AF29" s="1">
        <v>10128</v>
      </c>
      <c r="AI29" s="1" t="s">
        <v>74</v>
      </c>
      <c r="AJ29" s="1">
        <v>2018</v>
      </c>
      <c r="AK29" s="1" t="s">
        <v>55</v>
      </c>
      <c r="AL29" s="1">
        <v>48</v>
      </c>
    </row>
    <row r="30" spans="1:38" x14ac:dyDescent="0.2">
      <c r="A30" s="2" t="str">
        <f>HYPERLINK("https://www.compass.com/listing/611-west-56th-street-unit-19a-manhattan-ny-10019/831097954633652729/","611 W 56th St, Unit 19A")</f>
        <v>611 W 56th St, Unit 19A</v>
      </c>
      <c r="B30" s="2" t="str">
        <f>HYPERLINK("https://www.compass.com/building/611-west-56-st-by-lvaro-siza-manhattan-ny/315022245470148309/","611 West 56 St by Álvaro Siza")</f>
        <v>611 West 56 St by Álvaro Siza</v>
      </c>
      <c r="C30" s="1" t="s">
        <v>57</v>
      </c>
      <c r="D30" s="1" t="s">
        <v>41</v>
      </c>
      <c r="E30" s="3">
        <v>2900000</v>
      </c>
      <c r="F30" s="1">
        <v>2071.4285714285702</v>
      </c>
      <c r="G30" s="1">
        <v>4</v>
      </c>
      <c r="H30" s="1">
        <v>2</v>
      </c>
      <c r="I30" s="1">
        <v>3</v>
      </c>
      <c r="J30" s="1">
        <v>2.5</v>
      </c>
      <c r="K30" s="1">
        <v>2</v>
      </c>
      <c r="L30" s="1">
        <v>1</v>
      </c>
      <c r="M30" s="4">
        <v>1400</v>
      </c>
      <c r="N30" s="1">
        <v>1916</v>
      </c>
      <c r="O30" s="1">
        <v>4752</v>
      </c>
      <c r="P30" s="1">
        <v>2836</v>
      </c>
      <c r="S30" s="1" t="s">
        <v>42</v>
      </c>
      <c r="T30" s="1" t="s">
        <v>48</v>
      </c>
      <c r="U30" s="1">
        <v>28</v>
      </c>
      <c r="V30" s="5">
        <v>44425</v>
      </c>
      <c r="W30" s="5">
        <v>44399</v>
      </c>
      <c r="X30" s="1">
        <v>3555000</v>
      </c>
      <c r="AB30" s="1" t="s">
        <v>44</v>
      </c>
      <c r="AF30" s="1">
        <v>10019</v>
      </c>
      <c r="AI30" s="1" t="s">
        <v>75</v>
      </c>
      <c r="AJ30" s="1">
        <v>2021</v>
      </c>
      <c r="AK30" s="1" t="s">
        <v>55</v>
      </c>
      <c r="AL30" s="1">
        <v>77</v>
      </c>
    </row>
    <row r="31" spans="1:38" x14ac:dyDescent="0.2">
      <c r="A31" s="2" t="str">
        <f>HYPERLINK("https://www.compass.com/listing/301-west-53rd-street-unit-16j-manhattan-ny-10019/826790829047793585/","301 W 53rd St, Unit 16J")</f>
        <v>301 W 53rd St, Unit 16J</v>
      </c>
      <c r="B31" s="2" t="str">
        <f>HYPERLINK("https://www.compass.com/building/fifty-third-and-eighth-manhattan-ny/281944545158031557/","Fifty Third and Eighth")</f>
        <v>Fifty Third and Eighth</v>
      </c>
      <c r="C31" s="1" t="s">
        <v>57</v>
      </c>
      <c r="D31" s="1" t="s">
        <v>41</v>
      </c>
      <c r="E31" s="3">
        <v>1150000</v>
      </c>
      <c r="F31" s="1">
        <v>1696.1651917404099</v>
      </c>
      <c r="G31" s="1">
        <v>3</v>
      </c>
      <c r="H31" s="1">
        <v>1</v>
      </c>
      <c r="I31" s="1">
        <v>1</v>
      </c>
      <c r="J31" s="1">
        <v>1</v>
      </c>
      <c r="K31" s="1">
        <v>1</v>
      </c>
      <c r="M31" s="1">
        <v>678</v>
      </c>
      <c r="N31" s="1">
        <v>673.69</v>
      </c>
      <c r="O31" s="1">
        <v>1694.05</v>
      </c>
      <c r="P31" s="1">
        <v>1020.33333333333</v>
      </c>
      <c r="S31" s="1" t="s">
        <v>42</v>
      </c>
      <c r="T31" s="1" t="s">
        <v>48</v>
      </c>
      <c r="U31" s="1">
        <v>33</v>
      </c>
      <c r="V31" s="5">
        <v>44394</v>
      </c>
      <c r="W31" s="5">
        <v>44394</v>
      </c>
      <c r="X31" s="1">
        <v>1150000</v>
      </c>
      <c r="AB31" s="1" t="s">
        <v>44</v>
      </c>
      <c r="AF31" s="1">
        <v>10019</v>
      </c>
      <c r="AI31" s="1" t="s">
        <v>76</v>
      </c>
      <c r="AJ31" s="1">
        <v>2017</v>
      </c>
      <c r="AK31" s="1" t="s">
        <v>50</v>
      </c>
      <c r="AL31" s="1">
        <v>248</v>
      </c>
    </row>
    <row r="32" spans="1:38" x14ac:dyDescent="0.2">
      <c r="A32" s="2" t="str">
        <f>HYPERLINK("https://www.compass.com/listing/500-west-45th-street-unit-206-manhattan-ny-10036/664485364155313929/","500 W 45th St, Unit 206")</f>
        <v>500 W 45th St, Unit 206</v>
      </c>
      <c r="B32" s="2" t="str">
        <f t="shared" ref="B32:B37" si="4">HYPERLINK("https://www.compass.com/building/bloom-on-forty-fifth-manhattan-ny/581860287819939901/","Bloom on Forty Fifth")</f>
        <v>Bloom on Forty Fifth</v>
      </c>
      <c r="C32" s="1" t="s">
        <v>57</v>
      </c>
      <c r="D32" s="1" t="s">
        <v>41</v>
      </c>
      <c r="E32" s="3">
        <v>777750</v>
      </c>
      <c r="F32" s="1">
        <v>1747.7528089887601</v>
      </c>
      <c r="G32" s="1">
        <v>1</v>
      </c>
      <c r="H32" s="1" t="s">
        <v>77</v>
      </c>
      <c r="I32" s="1">
        <v>1</v>
      </c>
      <c r="J32" s="1">
        <v>1</v>
      </c>
      <c r="K32" s="1">
        <v>1</v>
      </c>
      <c r="M32" s="1">
        <v>445</v>
      </c>
      <c r="N32" s="1">
        <v>630</v>
      </c>
      <c r="O32" s="1">
        <v>1300</v>
      </c>
      <c r="P32" s="1">
        <v>670</v>
      </c>
      <c r="S32" s="1" t="s">
        <v>42</v>
      </c>
      <c r="T32" s="1" t="s">
        <v>48</v>
      </c>
      <c r="U32" s="1">
        <v>258</v>
      </c>
      <c r="V32" s="5">
        <v>44426</v>
      </c>
      <c r="W32" s="5">
        <v>44169</v>
      </c>
      <c r="X32" s="1">
        <v>777750</v>
      </c>
      <c r="AB32" s="1" t="s">
        <v>44</v>
      </c>
      <c r="AD32" s="1" t="s">
        <v>63</v>
      </c>
      <c r="AE32" s="1" t="s">
        <v>64</v>
      </c>
      <c r="AF32" s="1">
        <v>10036</v>
      </c>
      <c r="AI32" s="1" t="s">
        <v>78</v>
      </c>
      <c r="AJ32" s="1">
        <v>2020</v>
      </c>
      <c r="AK32" s="1" t="s">
        <v>55</v>
      </c>
      <c r="AL32" s="1">
        <v>92</v>
      </c>
    </row>
    <row r="33" spans="1:38" x14ac:dyDescent="0.2">
      <c r="A33" s="2" t="str">
        <f>HYPERLINK("https://www.compass.com/listing/500-west-45th-street-unit-225-manhattan-ny-10036/664485182366145697/","500 W 45th St, Unit 225")</f>
        <v>500 W 45th St, Unit 225</v>
      </c>
      <c r="B33" s="2" t="str">
        <f t="shared" si="4"/>
        <v>Bloom on Forty Fifth</v>
      </c>
      <c r="C33" s="1" t="s">
        <v>57</v>
      </c>
      <c r="D33" s="1" t="s">
        <v>41</v>
      </c>
      <c r="E33" s="3">
        <v>1045500</v>
      </c>
      <c r="F33" s="1">
        <v>1562.7802690582901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M33" s="1">
        <v>669</v>
      </c>
      <c r="N33" s="1">
        <v>947</v>
      </c>
      <c r="O33" s="1">
        <v>1954</v>
      </c>
      <c r="P33" s="1">
        <v>1007</v>
      </c>
      <c r="S33" s="1" t="s">
        <v>42</v>
      </c>
      <c r="T33" s="1" t="s">
        <v>48</v>
      </c>
      <c r="U33" s="1">
        <v>258</v>
      </c>
      <c r="V33" s="5">
        <v>44426</v>
      </c>
      <c r="W33" s="5">
        <v>44169</v>
      </c>
      <c r="X33" s="1">
        <v>1045500</v>
      </c>
      <c r="AB33" s="1" t="s">
        <v>44</v>
      </c>
      <c r="AD33" s="1" t="s">
        <v>63</v>
      </c>
      <c r="AE33" s="1" t="s">
        <v>64</v>
      </c>
      <c r="AF33" s="1">
        <v>10036</v>
      </c>
      <c r="AI33" s="1" t="s">
        <v>78</v>
      </c>
      <c r="AJ33" s="1">
        <v>2020</v>
      </c>
      <c r="AK33" s="1" t="s">
        <v>55</v>
      </c>
      <c r="AL33" s="1">
        <v>92</v>
      </c>
    </row>
    <row r="34" spans="1:38" x14ac:dyDescent="0.2">
      <c r="A34" s="2" t="str">
        <f>HYPERLINK("https://www.compass.com/listing/500-west-45th-street-unit-307-manhattan-ny-10036/664485608280604601/","500 W 45th St, Unit 307")</f>
        <v>500 W 45th St, Unit 307</v>
      </c>
      <c r="B34" s="2" t="str">
        <f t="shared" si="4"/>
        <v>Bloom on Forty Fifth</v>
      </c>
      <c r="C34" s="1" t="s">
        <v>57</v>
      </c>
      <c r="D34" s="1" t="s">
        <v>41</v>
      </c>
      <c r="E34" s="3">
        <v>1037000</v>
      </c>
      <c r="F34" s="1">
        <v>1620.3125</v>
      </c>
      <c r="G34" s="1">
        <v>2</v>
      </c>
      <c r="H34" s="1">
        <v>1</v>
      </c>
      <c r="I34" s="1">
        <v>1</v>
      </c>
      <c r="J34" s="1">
        <v>1</v>
      </c>
      <c r="K34" s="1">
        <v>1</v>
      </c>
      <c r="M34" s="1">
        <v>640</v>
      </c>
      <c r="N34" s="1">
        <v>906</v>
      </c>
      <c r="O34" s="1">
        <v>1869</v>
      </c>
      <c r="P34" s="1">
        <v>963</v>
      </c>
      <c r="S34" s="1" t="s">
        <v>42</v>
      </c>
      <c r="T34" s="1" t="s">
        <v>48</v>
      </c>
      <c r="U34" s="1">
        <v>258</v>
      </c>
      <c r="V34" s="5">
        <v>44426</v>
      </c>
      <c r="W34" s="5">
        <v>44169</v>
      </c>
      <c r="X34" s="1">
        <v>1037000</v>
      </c>
      <c r="AB34" s="1" t="s">
        <v>44</v>
      </c>
      <c r="AD34" s="1" t="s">
        <v>63</v>
      </c>
      <c r="AE34" s="1" t="s">
        <v>64</v>
      </c>
      <c r="AF34" s="1">
        <v>10036</v>
      </c>
      <c r="AI34" s="1" t="s">
        <v>78</v>
      </c>
      <c r="AJ34" s="1">
        <v>2020</v>
      </c>
      <c r="AK34" s="1" t="s">
        <v>55</v>
      </c>
      <c r="AL34" s="1">
        <v>92</v>
      </c>
    </row>
    <row r="35" spans="1:38" x14ac:dyDescent="0.2">
      <c r="A35" s="2" t="str">
        <f>HYPERLINK("https://www.compass.com/listing/500-west-45th-street-unit-508-manhattan-ny-10036/791200686488826521/","500 W 45th St, Unit 508")</f>
        <v>500 W 45th St, Unit 508</v>
      </c>
      <c r="B35" s="2" t="str">
        <f t="shared" si="4"/>
        <v>Bloom on Forty Fifth</v>
      </c>
      <c r="C35" s="1" t="s">
        <v>57</v>
      </c>
      <c r="D35" s="1" t="s">
        <v>41</v>
      </c>
      <c r="E35" s="3">
        <v>1856800</v>
      </c>
      <c r="F35" s="1">
        <v>1669.7841726618699</v>
      </c>
      <c r="G35" s="1">
        <v>4</v>
      </c>
      <c r="H35" s="1">
        <v>2</v>
      </c>
      <c r="I35" s="1">
        <v>2</v>
      </c>
      <c r="J35" s="1">
        <v>2</v>
      </c>
      <c r="K35" s="1">
        <v>2</v>
      </c>
      <c r="M35" s="4">
        <v>1112</v>
      </c>
      <c r="N35" s="1">
        <v>1575</v>
      </c>
      <c r="O35" s="1">
        <v>3248</v>
      </c>
      <c r="P35" s="1">
        <v>1673</v>
      </c>
      <c r="S35" s="1" t="s">
        <v>42</v>
      </c>
      <c r="T35" s="1" t="s">
        <v>48</v>
      </c>
      <c r="U35" s="1">
        <v>83</v>
      </c>
      <c r="V35" s="5">
        <v>44426</v>
      </c>
      <c r="W35" s="5">
        <v>44343</v>
      </c>
      <c r="X35" s="1">
        <v>1856800</v>
      </c>
      <c r="AB35" s="1" t="s">
        <v>44</v>
      </c>
      <c r="AD35" s="1" t="s">
        <v>63</v>
      </c>
      <c r="AE35" s="1" t="s">
        <v>64</v>
      </c>
      <c r="AF35" s="1">
        <v>10036</v>
      </c>
      <c r="AI35" s="1" t="s">
        <v>78</v>
      </c>
      <c r="AJ35" s="1">
        <v>2020</v>
      </c>
      <c r="AK35" s="1" t="s">
        <v>55</v>
      </c>
      <c r="AL35" s="1">
        <v>92</v>
      </c>
    </row>
    <row r="36" spans="1:38" x14ac:dyDescent="0.2">
      <c r="A36" s="2" t="str">
        <f>HYPERLINK("https://www.compass.com/listing/500-west-45th-street-unit-609-manhattan-ny-10036/791200765375609953/","500 W 45th St, Unit 609")</f>
        <v>500 W 45th St, Unit 609</v>
      </c>
      <c r="B36" s="2" t="str">
        <f t="shared" si="4"/>
        <v>Bloom on Forty Fifth</v>
      </c>
      <c r="C36" s="1" t="s">
        <v>57</v>
      </c>
      <c r="D36" s="1" t="s">
        <v>41</v>
      </c>
      <c r="E36" s="3">
        <v>2530000</v>
      </c>
      <c r="F36" s="1">
        <v>1504.1617122473201</v>
      </c>
      <c r="G36" s="1">
        <v>6</v>
      </c>
      <c r="H36" s="1">
        <v>3</v>
      </c>
      <c r="I36" s="1">
        <v>3</v>
      </c>
      <c r="J36" s="1">
        <v>3</v>
      </c>
      <c r="K36" s="1">
        <v>3</v>
      </c>
      <c r="M36" s="4">
        <v>1682</v>
      </c>
      <c r="N36" s="1">
        <v>2444</v>
      </c>
      <c r="O36" s="1">
        <v>5041</v>
      </c>
      <c r="P36" s="1">
        <v>2597</v>
      </c>
      <c r="S36" s="1" t="s">
        <v>42</v>
      </c>
      <c r="T36" s="1" t="s">
        <v>48</v>
      </c>
      <c r="U36" s="1">
        <v>83</v>
      </c>
      <c r="V36" s="5">
        <v>44426</v>
      </c>
      <c r="W36" s="5">
        <v>44343</v>
      </c>
      <c r="X36" s="1">
        <v>2530000</v>
      </c>
      <c r="AB36" s="1" t="s">
        <v>44</v>
      </c>
      <c r="AD36" s="1" t="s">
        <v>63</v>
      </c>
      <c r="AE36" s="1" t="s">
        <v>64</v>
      </c>
      <c r="AF36" s="1">
        <v>10036</v>
      </c>
      <c r="AI36" s="1" t="s">
        <v>78</v>
      </c>
      <c r="AJ36" s="1">
        <v>2020</v>
      </c>
      <c r="AK36" s="1" t="s">
        <v>55</v>
      </c>
      <c r="AL36" s="1">
        <v>92</v>
      </c>
    </row>
    <row r="37" spans="1:38" x14ac:dyDescent="0.2">
      <c r="A37" s="2" t="str">
        <f>HYPERLINK("https://www.compass.com/listing/500-west-45th-street-unit-221-manhattan-ny-10036/664485308882820457/","500 W 45th St, Unit 221")</f>
        <v>500 W 45th St, Unit 221</v>
      </c>
      <c r="B37" s="2" t="str">
        <f t="shared" si="4"/>
        <v>Bloom on Forty Fifth</v>
      </c>
      <c r="C37" s="1" t="s">
        <v>57</v>
      </c>
      <c r="D37" s="1" t="s">
        <v>41</v>
      </c>
      <c r="E37" s="3">
        <v>1432250</v>
      </c>
      <c r="F37" s="1">
        <v>1843.30759330759</v>
      </c>
      <c r="G37" s="1">
        <v>2</v>
      </c>
      <c r="H37" s="1">
        <v>1</v>
      </c>
      <c r="I37" s="1">
        <v>1</v>
      </c>
      <c r="J37" s="1">
        <v>1</v>
      </c>
      <c r="K37" s="1">
        <v>1</v>
      </c>
      <c r="M37" s="1">
        <v>777</v>
      </c>
      <c r="N37" s="1">
        <v>1171</v>
      </c>
      <c r="O37" s="1">
        <v>2416</v>
      </c>
      <c r="P37" s="1">
        <v>1245</v>
      </c>
      <c r="S37" s="1" t="s">
        <v>42</v>
      </c>
      <c r="T37" s="1" t="s">
        <v>48</v>
      </c>
      <c r="U37" s="1">
        <v>258</v>
      </c>
      <c r="V37" s="5">
        <v>44426</v>
      </c>
      <c r="W37" s="5">
        <v>44169</v>
      </c>
      <c r="X37" s="1">
        <v>1432250</v>
      </c>
      <c r="AB37" s="1" t="s">
        <v>44</v>
      </c>
      <c r="AD37" s="1" t="s">
        <v>63</v>
      </c>
      <c r="AE37" s="1" t="s">
        <v>64</v>
      </c>
      <c r="AF37" s="1">
        <v>10036</v>
      </c>
      <c r="AI37" s="1" t="s">
        <v>78</v>
      </c>
      <c r="AJ37" s="1">
        <v>2020</v>
      </c>
      <c r="AK37" s="1" t="s">
        <v>55</v>
      </c>
      <c r="AL37" s="1">
        <v>92</v>
      </c>
    </row>
    <row r="38" spans="1:38" x14ac:dyDescent="0.2">
      <c r="A38" s="2" t="str">
        <f>HYPERLINK("https://www.compass.com/listing/520-west-45th-street-unit-1a-manhattan-ny-10036/749207908671287793/","520 W 45th St, Unit 1A")</f>
        <v>520 W 45th St, Unit 1A</v>
      </c>
      <c r="B38" s="2" t="str">
        <f>HYPERLINK("https://www.compass.com/building/inkwell-manhattan-ny/282026081983148485/","Inkwell")</f>
        <v>Inkwell</v>
      </c>
      <c r="C38" s="1" t="s">
        <v>57</v>
      </c>
      <c r="D38" s="1" t="s">
        <v>41</v>
      </c>
      <c r="E38" s="3">
        <v>2995000</v>
      </c>
      <c r="F38" s="1">
        <v>1575.4865860073601</v>
      </c>
      <c r="G38" s="1">
        <v>5</v>
      </c>
      <c r="H38" s="1">
        <v>3</v>
      </c>
      <c r="I38" s="1">
        <v>3</v>
      </c>
      <c r="J38" s="1">
        <v>3</v>
      </c>
      <c r="K38" s="1">
        <v>3</v>
      </c>
      <c r="M38" s="4">
        <v>1901</v>
      </c>
      <c r="N38" s="1">
        <v>2947</v>
      </c>
      <c r="O38" s="1">
        <v>6068</v>
      </c>
      <c r="P38" s="1">
        <v>3121</v>
      </c>
      <c r="S38" s="1" t="s">
        <v>42</v>
      </c>
      <c r="T38" s="1" t="s">
        <v>48</v>
      </c>
      <c r="U38" s="1">
        <v>141</v>
      </c>
      <c r="V38" s="5">
        <v>44418</v>
      </c>
      <c r="W38" s="5">
        <v>44286</v>
      </c>
      <c r="X38" s="1">
        <v>2995000</v>
      </c>
      <c r="AB38" s="1" t="s">
        <v>44</v>
      </c>
      <c r="AF38" s="1">
        <v>10036</v>
      </c>
      <c r="AI38" s="1" t="s">
        <v>79</v>
      </c>
      <c r="AJ38" s="1">
        <v>1905</v>
      </c>
      <c r="AK38" s="1" t="s">
        <v>59</v>
      </c>
      <c r="AL38" s="1">
        <v>18</v>
      </c>
    </row>
    <row r="39" spans="1:38" x14ac:dyDescent="0.2">
      <c r="A39" s="2" t="str">
        <f>HYPERLINK("https://www.compass.com/listing/500-west-45th-street-unit-227-manhattan-ny-10036/768696245902956937/","500 W 45th St, Unit 227")</f>
        <v>500 W 45th St, Unit 227</v>
      </c>
      <c r="B39" s="2" t="str">
        <f t="shared" ref="B39:B42" si="5">HYPERLINK("https://www.compass.com/building/bloom-on-forty-fifth-manhattan-ny/581860287819939901/","Bloom on Forty Fifth")</f>
        <v>Bloom on Forty Fifth</v>
      </c>
      <c r="C39" s="1" t="s">
        <v>57</v>
      </c>
      <c r="D39" s="1" t="s">
        <v>41</v>
      </c>
      <c r="E39" s="3">
        <v>1843600</v>
      </c>
      <c r="F39" s="1">
        <v>1657.9136690647399</v>
      </c>
      <c r="G39" s="1">
        <v>4</v>
      </c>
      <c r="H39" s="1">
        <v>2</v>
      </c>
      <c r="I39" s="1">
        <v>2</v>
      </c>
      <c r="J39" s="1">
        <v>2</v>
      </c>
      <c r="K39" s="1">
        <v>2</v>
      </c>
      <c r="M39" s="4">
        <v>1112</v>
      </c>
      <c r="N39" s="1">
        <v>1575</v>
      </c>
      <c r="O39" s="1">
        <v>3248</v>
      </c>
      <c r="P39" s="1">
        <v>1673</v>
      </c>
      <c r="S39" s="1" t="s">
        <v>42</v>
      </c>
      <c r="T39" s="1" t="s">
        <v>48</v>
      </c>
      <c r="U39" s="1">
        <v>114</v>
      </c>
      <c r="V39" s="5">
        <v>44426</v>
      </c>
      <c r="W39" s="5">
        <v>44312</v>
      </c>
      <c r="X39" s="1">
        <v>1843600</v>
      </c>
      <c r="AB39" s="1" t="s">
        <v>44</v>
      </c>
      <c r="AD39" s="1" t="s">
        <v>63</v>
      </c>
      <c r="AE39" s="1" t="s">
        <v>64</v>
      </c>
      <c r="AF39" s="1">
        <v>10036</v>
      </c>
      <c r="AI39" s="1" t="s">
        <v>78</v>
      </c>
      <c r="AJ39" s="1">
        <v>2020</v>
      </c>
      <c r="AK39" s="1" t="s">
        <v>55</v>
      </c>
      <c r="AL39" s="1">
        <v>92</v>
      </c>
    </row>
    <row r="40" spans="1:38" x14ac:dyDescent="0.2">
      <c r="A40" s="2" t="str">
        <f>HYPERLINK("https://www.compass.com/listing/500-west-45th-street-unit-208-manhattan-ny-10036/768696313163698849/","500 W 45th St, Unit 208")</f>
        <v>500 W 45th St, Unit 208</v>
      </c>
      <c r="B40" s="2" t="str">
        <f t="shared" si="5"/>
        <v>Bloom on Forty Fifth</v>
      </c>
      <c r="C40" s="1" t="s">
        <v>57</v>
      </c>
      <c r="D40" s="1" t="s">
        <v>41</v>
      </c>
      <c r="E40" s="3">
        <v>1834800</v>
      </c>
      <c r="F40" s="1">
        <v>1650</v>
      </c>
      <c r="G40" s="1">
        <v>4</v>
      </c>
      <c r="H40" s="1">
        <v>2</v>
      </c>
      <c r="I40" s="1">
        <v>2</v>
      </c>
      <c r="J40" s="1">
        <v>2</v>
      </c>
      <c r="K40" s="1">
        <v>2</v>
      </c>
      <c r="M40" s="4">
        <v>1112</v>
      </c>
      <c r="N40" s="1">
        <v>1575</v>
      </c>
      <c r="O40" s="1">
        <v>3248</v>
      </c>
      <c r="P40" s="1">
        <v>1673</v>
      </c>
      <c r="S40" s="1" t="s">
        <v>42</v>
      </c>
      <c r="T40" s="1" t="s">
        <v>48</v>
      </c>
      <c r="U40" s="1">
        <v>114</v>
      </c>
      <c r="V40" s="5">
        <v>44426</v>
      </c>
      <c r="W40" s="5">
        <v>44312</v>
      </c>
      <c r="X40" s="1">
        <v>1834800</v>
      </c>
      <c r="AB40" s="1" t="s">
        <v>44</v>
      </c>
      <c r="AD40" s="1" t="s">
        <v>63</v>
      </c>
      <c r="AE40" s="1" t="s">
        <v>64</v>
      </c>
      <c r="AF40" s="1">
        <v>10036</v>
      </c>
      <c r="AI40" s="1" t="s">
        <v>78</v>
      </c>
      <c r="AJ40" s="1">
        <v>2020</v>
      </c>
      <c r="AK40" s="1" t="s">
        <v>55</v>
      </c>
      <c r="AL40" s="1">
        <v>92</v>
      </c>
    </row>
    <row r="41" spans="1:38" x14ac:dyDescent="0.2">
      <c r="A41" s="2" t="str">
        <f>HYPERLINK("https://www.compass.com/listing/500-west-45th-street-unit-210-manhattan-ny-10036/664485246966614529/","500 W 45th St, Unit 210")</f>
        <v>500 W 45th St, Unit 210</v>
      </c>
      <c r="B41" s="2" t="str">
        <f t="shared" si="5"/>
        <v>Bloom on Forty Fifth</v>
      </c>
      <c r="C41" s="1" t="s">
        <v>57</v>
      </c>
      <c r="D41" s="1" t="s">
        <v>41</v>
      </c>
      <c r="E41" s="3">
        <v>1940125</v>
      </c>
      <c r="F41" s="1">
        <v>1706.3544415127501</v>
      </c>
      <c r="G41" s="1">
        <v>4</v>
      </c>
      <c r="H41" s="1">
        <v>2</v>
      </c>
      <c r="I41" s="1">
        <v>3</v>
      </c>
      <c r="J41" s="1">
        <v>2.5</v>
      </c>
      <c r="K41" s="1">
        <v>2</v>
      </c>
      <c r="L41" s="1">
        <v>1</v>
      </c>
      <c r="M41" s="4">
        <v>1137</v>
      </c>
      <c r="N41" s="1">
        <v>1703</v>
      </c>
      <c r="O41" s="1">
        <v>3513</v>
      </c>
      <c r="P41" s="1">
        <v>1810</v>
      </c>
      <c r="S41" s="1" t="s">
        <v>42</v>
      </c>
      <c r="T41" s="1" t="s">
        <v>48</v>
      </c>
      <c r="U41" s="1">
        <v>258</v>
      </c>
      <c r="V41" s="5">
        <v>44426</v>
      </c>
      <c r="W41" s="5">
        <v>44169</v>
      </c>
      <c r="X41" s="1">
        <v>1940125</v>
      </c>
      <c r="AB41" s="1" t="s">
        <v>44</v>
      </c>
      <c r="AD41" s="1" t="s">
        <v>63</v>
      </c>
      <c r="AE41" s="1" t="s">
        <v>64</v>
      </c>
      <c r="AF41" s="1">
        <v>10036</v>
      </c>
      <c r="AI41" s="1" t="s">
        <v>78</v>
      </c>
      <c r="AJ41" s="1">
        <v>2020</v>
      </c>
      <c r="AK41" s="1" t="s">
        <v>55</v>
      </c>
      <c r="AL41" s="1">
        <v>92</v>
      </c>
    </row>
    <row r="42" spans="1:38" x14ac:dyDescent="0.2">
      <c r="A42" s="2" t="str">
        <f>HYPERLINK("https://www.compass.com/listing/500-west-45th-street-unit-311-manhattan-ny-10036/592735401666934625/","500 W 45th St, Unit 311")</f>
        <v>500 W 45th St, Unit 311</v>
      </c>
      <c r="B42" s="2" t="str">
        <f t="shared" si="5"/>
        <v>Bloom on Forty Fifth</v>
      </c>
      <c r="C42" s="1" t="s">
        <v>57</v>
      </c>
      <c r="D42" s="1" t="s">
        <v>41</v>
      </c>
      <c r="E42" s="3">
        <v>1695750</v>
      </c>
      <c r="F42" s="1">
        <v>1641.5779283639799</v>
      </c>
      <c r="G42" s="1">
        <v>5</v>
      </c>
      <c r="H42" s="1">
        <v>2</v>
      </c>
      <c r="I42" s="1">
        <v>2</v>
      </c>
      <c r="J42" s="1">
        <v>2</v>
      </c>
      <c r="K42" s="1">
        <v>2</v>
      </c>
      <c r="M42" s="4">
        <v>1033</v>
      </c>
      <c r="N42" s="1">
        <v>1463</v>
      </c>
      <c r="O42" s="1">
        <v>3018</v>
      </c>
      <c r="P42" s="1">
        <v>1555</v>
      </c>
      <c r="S42" s="1" t="s">
        <v>42</v>
      </c>
      <c r="T42" s="1" t="s">
        <v>48</v>
      </c>
      <c r="U42" s="1">
        <v>357</v>
      </c>
      <c r="V42" s="5">
        <v>44426</v>
      </c>
      <c r="W42" s="5">
        <v>44070</v>
      </c>
      <c r="X42" s="1">
        <v>1895000</v>
      </c>
      <c r="AB42" s="1" t="s">
        <v>44</v>
      </c>
      <c r="AD42" s="1" t="s">
        <v>63</v>
      </c>
      <c r="AE42" s="1" t="s">
        <v>64</v>
      </c>
      <c r="AF42" s="1">
        <v>10036</v>
      </c>
      <c r="AI42" s="1" t="s">
        <v>78</v>
      </c>
      <c r="AJ42" s="1">
        <v>2020</v>
      </c>
      <c r="AK42" s="1" t="s">
        <v>55</v>
      </c>
      <c r="AL42" s="1">
        <v>92</v>
      </c>
    </row>
    <row r="43" spans="1:38" x14ac:dyDescent="0.2">
      <c r="A43" s="2" t="str">
        <f>HYPERLINK("https://www.compass.com/listing/301-west-53rd-street-unit-18h-manhattan-ny-10019/790419911213053489/","301 W 53rd St, Unit 18H")</f>
        <v>301 W 53rd St, Unit 18H</v>
      </c>
      <c r="B43" s="2" t="str">
        <f>HYPERLINK("https://www.compass.com/building/fifty-third-and-eighth-manhattan-ny/281944545158031557/","Fifty Third and Eighth")</f>
        <v>Fifty Third and Eighth</v>
      </c>
      <c r="C43" s="1" t="s">
        <v>57</v>
      </c>
      <c r="D43" s="1" t="s">
        <v>41</v>
      </c>
      <c r="E43" s="3">
        <v>1080000</v>
      </c>
      <c r="F43" s="1">
        <v>1619.1904047976</v>
      </c>
      <c r="G43" s="1">
        <v>2</v>
      </c>
      <c r="H43" s="1">
        <v>1</v>
      </c>
      <c r="I43" s="1">
        <v>1</v>
      </c>
      <c r="J43" s="1">
        <v>1</v>
      </c>
      <c r="K43" s="1">
        <v>1</v>
      </c>
      <c r="M43" s="1">
        <v>667</v>
      </c>
      <c r="N43" s="1">
        <v>669</v>
      </c>
      <c r="O43" s="1">
        <v>1771.25</v>
      </c>
      <c r="P43" s="1">
        <v>1102.25</v>
      </c>
      <c r="S43" s="1" t="s">
        <v>42</v>
      </c>
      <c r="T43" s="1" t="s">
        <v>48</v>
      </c>
      <c r="U43" s="1">
        <v>84</v>
      </c>
      <c r="V43" s="5">
        <v>44342</v>
      </c>
      <c r="W43" s="5">
        <v>44342</v>
      </c>
      <c r="X43" s="1">
        <v>1080000</v>
      </c>
      <c r="AB43" s="1" t="s">
        <v>44</v>
      </c>
      <c r="AF43" s="1">
        <v>10019</v>
      </c>
      <c r="AI43" s="1" t="s">
        <v>76</v>
      </c>
      <c r="AJ43" s="1">
        <v>2017</v>
      </c>
      <c r="AK43" s="1" t="s">
        <v>50</v>
      </c>
      <c r="AL43" s="1">
        <v>248</v>
      </c>
    </row>
    <row r="44" spans="1:38" x14ac:dyDescent="0.2">
      <c r="A44" s="2" t="str">
        <f>HYPERLINK("https://www.compass.com/listing/611-west-56th-street-unit-4d-manhattan-ny-10019/774634612642860345/","611 W 56th St, Unit 4D")</f>
        <v>611 W 56th St, Unit 4D</v>
      </c>
      <c r="B44" s="2" t="str">
        <f t="shared" ref="B44:B51" si="6">HYPERLINK("https://www.compass.com/building/611-west-56-st-by-lvaro-siza-manhattan-ny/315022245470148309/","611 West 56 St by Álvaro Siza")</f>
        <v>611 West 56 St by Álvaro Siza</v>
      </c>
      <c r="C44" s="1" t="s">
        <v>57</v>
      </c>
      <c r="D44" s="1" t="s">
        <v>41</v>
      </c>
      <c r="E44" s="3">
        <v>997500</v>
      </c>
      <c r="F44" s="1">
        <v>1959.72495088408</v>
      </c>
      <c r="G44" s="1">
        <v>2</v>
      </c>
      <c r="H44" s="1">
        <v>1</v>
      </c>
      <c r="I44" s="1">
        <v>1</v>
      </c>
      <c r="J44" s="1">
        <v>1</v>
      </c>
      <c r="K44" s="1">
        <v>1</v>
      </c>
      <c r="M44" s="1">
        <v>509</v>
      </c>
      <c r="N44" s="1">
        <v>697</v>
      </c>
      <c r="O44" s="1">
        <v>1728</v>
      </c>
      <c r="P44" s="1">
        <v>1031</v>
      </c>
      <c r="S44" s="1" t="s">
        <v>42</v>
      </c>
      <c r="T44" s="1" t="s">
        <v>48</v>
      </c>
      <c r="U44" s="1">
        <v>106</v>
      </c>
      <c r="V44" s="5">
        <v>44425</v>
      </c>
      <c r="W44" s="5">
        <v>44321</v>
      </c>
      <c r="X44" s="1">
        <v>1225000</v>
      </c>
      <c r="AB44" s="1" t="s">
        <v>44</v>
      </c>
      <c r="AF44" s="1">
        <v>10019</v>
      </c>
      <c r="AI44" s="1" t="s">
        <v>75</v>
      </c>
      <c r="AJ44" s="1">
        <v>2021</v>
      </c>
      <c r="AK44" s="1" t="s">
        <v>55</v>
      </c>
      <c r="AL44" s="1">
        <v>77</v>
      </c>
    </row>
    <row r="45" spans="1:38" x14ac:dyDescent="0.2">
      <c r="A45" s="2" t="str">
        <f>HYPERLINK("https://www.compass.com/listing/611-west-56th-street-unit-4e-manhattan-ny-10019/639139072914595313/","611 W 56th St, Unit 4E")</f>
        <v>611 W 56th St, Unit 4E</v>
      </c>
      <c r="B45" s="2" t="str">
        <f t="shared" si="6"/>
        <v>611 West 56 St by Álvaro Siza</v>
      </c>
      <c r="C45" s="1" t="s">
        <v>57</v>
      </c>
      <c r="D45" s="1" t="s">
        <v>41</v>
      </c>
      <c r="E45" s="3">
        <v>2650000</v>
      </c>
      <c r="F45" s="1">
        <v>2343.05923961096</v>
      </c>
      <c r="G45" s="1">
        <v>4</v>
      </c>
      <c r="H45" s="1">
        <v>2</v>
      </c>
      <c r="I45" s="1">
        <v>3</v>
      </c>
      <c r="J45" s="1">
        <v>2.5</v>
      </c>
      <c r="K45" s="1">
        <v>2</v>
      </c>
      <c r="L45" s="1">
        <v>1</v>
      </c>
      <c r="M45" s="4">
        <v>1131</v>
      </c>
      <c r="N45" s="1">
        <v>1917</v>
      </c>
      <c r="O45" s="1">
        <v>4755</v>
      </c>
      <c r="P45" s="1">
        <v>2838</v>
      </c>
      <c r="S45" s="1" t="s">
        <v>42</v>
      </c>
      <c r="T45" s="1" t="s">
        <v>48</v>
      </c>
      <c r="U45" s="1">
        <v>293</v>
      </c>
      <c r="V45" s="5">
        <v>44425</v>
      </c>
      <c r="W45" s="5">
        <v>44134</v>
      </c>
      <c r="X45" s="1">
        <v>2650000</v>
      </c>
      <c r="AB45" s="1" t="s">
        <v>44</v>
      </c>
      <c r="AF45" s="1">
        <v>10019</v>
      </c>
      <c r="AI45" s="1" t="s">
        <v>80</v>
      </c>
      <c r="AJ45" s="1">
        <v>2021</v>
      </c>
      <c r="AK45" s="1" t="s">
        <v>55</v>
      </c>
      <c r="AL45" s="1">
        <v>77</v>
      </c>
    </row>
    <row r="46" spans="1:38" x14ac:dyDescent="0.2">
      <c r="A46" s="2" t="str">
        <f>HYPERLINK("https://www.compass.com/listing/611-west-56th-street-unit-5b-manhattan-ny-10019/348311184855830625/","611 W 56th St, Unit 5B")</f>
        <v>611 W 56th St, Unit 5B</v>
      </c>
      <c r="B46" s="2" t="str">
        <f t="shared" si="6"/>
        <v>611 West 56 St by Álvaro Siza</v>
      </c>
      <c r="C46" s="1" t="s">
        <v>57</v>
      </c>
      <c r="D46" s="1" t="s">
        <v>41</v>
      </c>
      <c r="E46" s="3">
        <v>1550000</v>
      </c>
      <c r="F46" s="1">
        <v>1808.63477246207</v>
      </c>
      <c r="G46" s="1">
        <v>3</v>
      </c>
      <c r="H46" s="1">
        <v>1</v>
      </c>
      <c r="I46" s="1">
        <v>2</v>
      </c>
      <c r="J46" s="1">
        <v>1.5</v>
      </c>
      <c r="K46" s="1">
        <v>1</v>
      </c>
      <c r="L46" s="1">
        <v>1</v>
      </c>
      <c r="M46" s="1">
        <v>857</v>
      </c>
      <c r="N46" s="1">
        <v>1173</v>
      </c>
      <c r="O46" s="1">
        <v>2909</v>
      </c>
      <c r="P46" s="1">
        <v>1736</v>
      </c>
      <c r="S46" s="1" t="s">
        <v>42</v>
      </c>
      <c r="T46" s="1" t="s">
        <v>48</v>
      </c>
      <c r="U46" s="1">
        <v>600</v>
      </c>
      <c r="V46" s="5">
        <v>44425</v>
      </c>
      <c r="W46" s="5">
        <v>43732</v>
      </c>
      <c r="X46" s="1">
        <v>1830000</v>
      </c>
      <c r="AB46" s="1" t="s">
        <v>44</v>
      </c>
      <c r="AF46" s="1">
        <v>10019</v>
      </c>
      <c r="AI46" s="1" t="s">
        <v>75</v>
      </c>
      <c r="AJ46" s="1">
        <v>2021</v>
      </c>
      <c r="AK46" s="1" t="s">
        <v>81</v>
      </c>
      <c r="AL46" s="1">
        <v>77</v>
      </c>
    </row>
    <row r="47" spans="1:38" x14ac:dyDescent="0.2">
      <c r="A47" s="2" t="str">
        <f>HYPERLINK("https://www.compass.com/listing/611-west-56th-street-unit-4a-manhattan-ny-10019/348311635206511185/","611 W 56th St, Unit 4A")</f>
        <v>611 W 56th St, Unit 4A</v>
      </c>
      <c r="B47" s="2" t="str">
        <f t="shared" si="6"/>
        <v>611 West 56 St by Álvaro Siza</v>
      </c>
      <c r="C47" s="1" t="s">
        <v>57</v>
      </c>
      <c r="D47" s="1" t="s">
        <v>41</v>
      </c>
      <c r="E47" s="3">
        <v>1725000</v>
      </c>
      <c r="F47" s="1">
        <v>1987.3271889400901</v>
      </c>
      <c r="G47" s="1">
        <v>3</v>
      </c>
      <c r="H47" s="1">
        <v>1</v>
      </c>
      <c r="I47" s="1">
        <v>2</v>
      </c>
      <c r="J47" s="1">
        <v>1.5</v>
      </c>
      <c r="K47" s="1">
        <v>1</v>
      </c>
      <c r="L47" s="1">
        <v>1</v>
      </c>
      <c r="M47" s="1">
        <v>868</v>
      </c>
      <c r="N47" s="1">
        <v>1188</v>
      </c>
      <c r="O47" s="1">
        <v>2946</v>
      </c>
      <c r="P47" s="1">
        <v>1758</v>
      </c>
      <c r="S47" s="1" t="s">
        <v>42</v>
      </c>
      <c r="T47" s="1" t="s">
        <v>48</v>
      </c>
      <c r="U47" s="1">
        <v>600</v>
      </c>
      <c r="V47" s="5">
        <v>44425</v>
      </c>
      <c r="W47" s="5">
        <v>43732</v>
      </c>
      <c r="X47" s="1">
        <v>1860000</v>
      </c>
      <c r="AB47" s="1" t="s">
        <v>44</v>
      </c>
      <c r="AF47" s="1">
        <v>10019</v>
      </c>
      <c r="AI47" s="1" t="s">
        <v>75</v>
      </c>
      <c r="AJ47" s="1">
        <v>2021</v>
      </c>
      <c r="AK47" s="1" t="s">
        <v>81</v>
      </c>
      <c r="AL47" s="1">
        <v>77</v>
      </c>
    </row>
    <row r="48" spans="1:38" x14ac:dyDescent="0.2">
      <c r="A48" s="2" t="str">
        <f>HYPERLINK("https://www.compass.com/listing/611-west-56th-street-unit-14b-manhattan-ny-10019/766777693559498025/","611 W 56th St, Unit 14B")</f>
        <v>611 W 56th St, Unit 14B</v>
      </c>
      <c r="B48" s="2" t="str">
        <f t="shared" si="6"/>
        <v>611 West 56 St by Álvaro Siza</v>
      </c>
      <c r="C48" s="1" t="s">
        <v>57</v>
      </c>
      <c r="D48" s="1" t="s">
        <v>41</v>
      </c>
      <c r="E48" s="3">
        <v>3135000</v>
      </c>
      <c r="F48" s="1">
        <v>2026.5029088558499</v>
      </c>
      <c r="G48" s="1">
        <v>6</v>
      </c>
      <c r="H48" s="1">
        <v>3</v>
      </c>
      <c r="I48" s="1">
        <v>3</v>
      </c>
      <c r="J48" s="1">
        <v>2.5</v>
      </c>
      <c r="K48" s="1">
        <v>2</v>
      </c>
      <c r="L48" s="1">
        <v>1</v>
      </c>
      <c r="M48" s="4">
        <v>1547</v>
      </c>
      <c r="N48" s="1">
        <v>2117</v>
      </c>
      <c r="O48" s="1">
        <v>5251</v>
      </c>
      <c r="P48" s="1">
        <v>3134</v>
      </c>
      <c r="S48" s="1" t="s">
        <v>42</v>
      </c>
      <c r="T48" s="1" t="s">
        <v>48</v>
      </c>
      <c r="U48" s="1">
        <v>117</v>
      </c>
      <c r="V48" s="5">
        <v>44425</v>
      </c>
      <c r="W48" s="5">
        <v>44310</v>
      </c>
      <c r="X48" s="1">
        <v>3825000</v>
      </c>
      <c r="AB48" s="1" t="s">
        <v>44</v>
      </c>
      <c r="AF48" s="1">
        <v>10019</v>
      </c>
      <c r="AI48" s="1" t="s">
        <v>75</v>
      </c>
      <c r="AJ48" s="1">
        <v>2021</v>
      </c>
      <c r="AK48" s="1" t="s">
        <v>55</v>
      </c>
      <c r="AL48" s="1">
        <v>77</v>
      </c>
    </row>
    <row r="49" spans="1:38" x14ac:dyDescent="0.2">
      <c r="A49" s="2" t="str">
        <f>HYPERLINK("https://www.compass.com/listing/611-west-56th-street-unit-5c-manhattan-ny-10019/348312045803963137/","611 W 56th St, Unit 5C")</f>
        <v>611 W 56th St, Unit 5C</v>
      </c>
      <c r="B49" s="2" t="str">
        <f t="shared" si="6"/>
        <v>611 West 56 St by Álvaro Siza</v>
      </c>
      <c r="C49" s="1" t="s">
        <v>57</v>
      </c>
      <c r="D49" s="1" t="s">
        <v>41</v>
      </c>
      <c r="E49" s="3">
        <v>2145000</v>
      </c>
      <c r="F49" s="1">
        <v>1978.7822878228701</v>
      </c>
      <c r="G49" s="1">
        <v>4</v>
      </c>
      <c r="H49" s="1">
        <v>2</v>
      </c>
      <c r="I49" s="1">
        <v>2</v>
      </c>
      <c r="J49" s="1">
        <v>2</v>
      </c>
      <c r="K49" s="1">
        <v>2</v>
      </c>
      <c r="M49" s="4">
        <v>1084</v>
      </c>
      <c r="N49" s="1">
        <v>1483</v>
      </c>
      <c r="O49" s="1">
        <v>3679</v>
      </c>
      <c r="P49" s="1">
        <v>2196</v>
      </c>
      <c r="S49" s="1" t="s">
        <v>42</v>
      </c>
      <c r="T49" s="1" t="s">
        <v>48</v>
      </c>
      <c r="U49" s="1">
        <v>600</v>
      </c>
      <c r="V49" s="5">
        <v>44425</v>
      </c>
      <c r="W49" s="5">
        <v>43732</v>
      </c>
      <c r="X49" s="1">
        <v>2420000</v>
      </c>
      <c r="AB49" s="1" t="s">
        <v>44</v>
      </c>
      <c r="AF49" s="1">
        <v>10019</v>
      </c>
      <c r="AI49" s="1" t="s">
        <v>75</v>
      </c>
      <c r="AJ49" s="1">
        <v>2021</v>
      </c>
      <c r="AK49" s="1" t="s">
        <v>81</v>
      </c>
      <c r="AL49" s="1">
        <v>77</v>
      </c>
    </row>
    <row r="50" spans="1:38" x14ac:dyDescent="0.2">
      <c r="A50" s="2" t="str">
        <f>HYPERLINK("https://www.compass.com/listing/611-west-56th-street-unit-11-manhattan-ny-10019/688407024576426673/","611 W 56th St, Unit 11")</f>
        <v>611 W 56th St, Unit 11</v>
      </c>
      <c r="B50" s="2" t="str">
        <f t="shared" si="6"/>
        <v>611 West 56 St by Álvaro Siza</v>
      </c>
      <c r="C50" s="1" t="s">
        <v>57</v>
      </c>
      <c r="D50" s="1" t="s">
        <v>41</v>
      </c>
      <c r="E50" s="3">
        <v>6350000</v>
      </c>
      <c r="F50" s="1">
        <v>1891.5698540363401</v>
      </c>
      <c r="G50" s="1">
        <v>7</v>
      </c>
      <c r="H50" s="1">
        <v>4</v>
      </c>
      <c r="I50" s="1">
        <v>5</v>
      </c>
      <c r="J50" s="1">
        <v>4.5</v>
      </c>
      <c r="K50" s="1">
        <v>4</v>
      </c>
      <c r="L50" s="1">
        <v>1</v>
      </c>
      <c r="M50" s="4">
        <v>3357</v>
      </c>
      <c r="N50" s="1">
        <v>4033</v>
      </c>
      <c r="O50" s="1">
        <v>10002</v>
      </c>
      <c r="P50" s="1">
        <v>5969</v>
      </c>
      <c r="S50" s="1" t="s">
        <v>42</v>
      </c>
      <c r="T50" s="1" t="s">
        <v>48</v>
      </c>
      <c r="U50" s="1">
        <v>225</v>
      </c>
      <c r="V50" s="5">
        <v>44425</v>
      </c>
      <c r="W50" s="5">
        <v>44202</v>
      </c>
      <c r="X50" s="1">
        <v>6650000</v>
      </c>
      <c r="AB50" s="1" t="s">
        <v>44</v>
      </c>
      <c r="AF50" s="1">
        <v>10019</v>
      </c>
      <c r="AI50" s="1" t="s">
        <v>75</v>
      </c>
      <c r="AJ50" s="1">
        <v>2021</v>
      </c>
      <c r="AK50" s="1" t="s">
        <v>81</v>
      </c>
      <c r="AL50" s="1">
        <v>77</v>
      </c>
    </row>
    <row r="51" spans="1:38" x14ac:dyDescent="0.2">
      <c r="A51" s="2" t="str">
        <f>HYPERLINK("https://www.compass.com/listing/611-west-56th-street-unit-ph33-manhattan-ny-10019/348317464853120065/","611 W 56th St, Unit PH33")</f>
        <v>611 W 56th St, Unit PH33</v>
      </c>
      <c r="B51" s="2" t="str">
        <f t="shared" si="6"/>
        <v>611 West 56 St by Álvaro Siza</v>
      </c>
      <c r="C51" s="1" t="s">
        <v>57</v>
      </c>
      <c r="D51" s="1" t="s">
        <v>41</v>
      </c>
      <c r="E51" s="3">
        <v>11245000</v>
      </c>
      <c r="F51" s="1">
        <v>3349.71700923443</v>
      </c>
      <c r="G51" s="1">
        <v>7</v>
      </c>
      <c r="H51" s="1">
        <v>4</v>
      </c>
      <c r="I51" s="1">
        <v>5</v>
      </c>
      <c r="J51" s="1">
        <v>4.5</v>
      </c>
      <c r="K51" s="1">
        <v>4</v>
      </c>
      <c r="L51" s="1">
        <v>1</v>
      </c>
      <c r="M51" s="4">
        <v>3357</v>
      </c>
      <c r="N51" s="1">
        <v>4594</v>
      </c>
      <c r="O51" s="1">
        <v>11394</v>
      </c>
      <c r="P51" s="1">
        <v>6800</v>
      </c>
      <c r="S51" s="1" t="s">
        <v>42</v>
      </c>
      <c r="T51" s="1" t="s">
        <v>48</v>
      </c>
      <c r="U51" s="1">
        <v>600</v>
      </c>
      <c r="V51" s="5">
        <v>44425</v>
      </c>
      <c r="W51" s="5">
        <v>43732</v>
      </c>
      <c r="X51" s="1">
        <v>11245000</v>
      </c>
      <c r="AB51" s="1" t="s">
        <v>44</v>
      </c>
      <c r="AF51" s="1">
        <v>10019</v>
      </c>
      <c r="AI51" s="1" t="s">
        <v>75</v>
      </c>
      <c r="AJ51" s="1">
        <v>2021</v>
      </c>
      <c r="AK51" s="1" t="s">
        <v>81</v>
      </c>
      <c r="AL51" s="1">
        <v>77</v>
      </c>
    </row>
    <row r="52" spans="1:38" x14ac:dyDescent="0.2">
      <c r="A52" s="2" t="str">
        <f>HYPERLINK("https://www.compass.com/listing/1810-3rd-avenue-unit-a11c-manhattan-ny-10029/796979964732026833/","1810 3rd Ave, Unit A11C")</f>
        <v>1810 3rd Ave, Unit A11C</v>
      </c>
      <c r="B52" s="2" t="str">
        <f t="shared" ref="B52:B53" si="7">HYPERLINK("https://www.compass.com/building/the-art-house-condominiums-manhattan-ny/281989881993998229/","The Art House Condominiums")</f>
        <v>The Art House Condominiums</v>
      </c>
      <c r="C52" s="1" t="s">
        <v>82</v>
      </c>
      <c r="D52" s="1" t="s">
        <v>41</v>
      </c>
      <c r="E52" s="3">
        <v>575000</v>
      </c>
      <c r="G52" s="1">
        <v>3.5</v>
      </c>
      <c r="H52" s="1">
        <v>2</v>
      </c>
      <c r="I52" s="1">
        <v>1</v>
      </c>
      <c r="J52" s="1">
        <v>1</v>
      </c>
      <c r="K52" s="1">
        <v>1</v>
      </c>
      <c r="N52" s="1">
        <v>536.32000000000005</v>
      </c>
      <c r="O52" s="1">
        <v>1127.32</v>
      </c>
      <c r="P52" s="1">
        <v>591</v>
      </c>
      <c r="S52" s="1" t="s">
        <v>42</v>
      </c>
      <c r="T52" s="1" t="s">
        <v>48</v>
      </c>
      <c r="U52" s="1">
        <v>75</v>
      </c>
      <c r="V52" s="5">
        <v>44426</v>
      </c>
      <c r="W52" s="5">
        <v>44351</v>
      </c>
      <c r="X52" s="1">
        <v>595000</v>
      </c>
      <c r="AB52" s="1" t="s">
        <v>44</v>
      </c>
      <c r="AD52" s="1" t="s">
        <v>83</v>
      </c>
      <c r="AE52" s="1" t="s">
        <v>64</v>
      </c>
      <c r="AF52" s="1">
        <v>10029</v>
      </c>
      <c r="AI52" s="1" t="s">
        <v>76</v>
      </c>
      <c r="AJ52" s="1">
        <v>2008</v>
      </c>
      <c r="AK52" s="1" t="s">
        <v>55</v>
      </c>
      <c r="AL52" s="1">
        <v>76</v>
      </c>
    </row>
    <row r="53" spans="1:38" x14ac:dyDescent="0.2">
      <c r="A53" s="2" t="str">
        <f>HYPERLINK("https://www.compass.com/listing/1810-3rd-avenue-unit-b9d-manhattan-ny-10029/730013346013129513/","1810 3rd Ave, Unit B9D")</f>
        <v>1810 3rd Ave, Unit B9D</v>
      </c>
      <c r="B53" s="2" t="str">
        <f t="shared" si="7"/>
        <v>The Art House Condominiums</v>
      </c>
      <c r="C53" s="1" t="s">
        <v>82</v>
      </c>
      <c r="D53" s="1" t="s">
        <v>41</v>
      </c>
      <c r="E53" s="3">
        <v>799000</v>
      </c>
      <c r="F53" s="1">
        <v>943.32939787485202</v>
      </c>
      <c r="G53" s="1">
        <v>5</v>
      </c>
      <c r="H53" s="1">
        <v>3</v>
      </c>
      <c r="I53" s="1">
        <v>1</v>
      </c>
      <c r="J53" s="1">
        <v>1</v>
      </c>
      <c r="K53" s="1">
        <v>1</v>
      </c>
      <c r="M53" s="1">
        <v>847</v>
      </c>
      <c r="N53" s="1">
        <v>819.4</v>
      </c>
      <c r="O53" s="1">
        <v>1412.4</v>
      </c>
      <c r="P53" s="1">
        <v>593</v>
      </c>
      <c r="S53" s="1" t="s">
        <v>42</v>
      </c>
      <c r="T53" s="1" t="s">
        <v>48</v>
      </c>
      <c r="U53" s="1">
        <v>163</v>
      </c>
      <c r="V53" s="5">
        <v>44366</v>
      </c>
      <c r="W53" s="5">
        <v>44264</v>
      </c>
      <c r="X53" s="1">
        <v>811000</v>
      </c>
      <c r="AB53" s="1" t="s">
        <v>44</v>
      </c>
      <c r="AF53" s="1">
        <v>10029</v>
      </c>
      <c r="AI53" s="1" t="s">
        <v>76</v>
      </c>
      <c r="AJ53" s="1">
        <v>2008</v>
      </c>
      <c r="AK53" s="1" t="s">
        <v>55</v>
      </c>
      <c r="AL53" s="1">
        <v>76</v>
      </c>
    </row>
    <row r="54" spans="1:38" x14ac:dyDescent="0.2">
      <c r="A54" s="2" t="str">
        <f>HYPERLINK("https://www.compass.com/listing/150-rivington-street-unit-4b-manhattan-ny-10002/775357566604951873/","150 Rivington St, Unit 4B")</f>
        <v>150 Rivington St, Unit 4B</v>
      </c>
      <c r="B54" s="2" t="str">
        <f t="shared" ref="B54:B57" si="8">HYPERLINK("https://www.compass.com/building/150-rivington-street-manhattan-ny/282058947895000453/","150 Rivington Street")</f>
        <v>150 Rivington Street</v>
      </c>
      <c r="C54" s="1" t="s">
        <v>84</v>
      </c>
      <c r="D54" s="1" t="s">
        <v>41</v>
      </c>
      <c r="E54" s="3">
        <v>1200000</v>
      </c>
      <c r="G54" s="1">
        <v>3</v>
      </c>
      <c r="H54" s="1">
        <v>1</v>
      </c>
      <c r="I54" s="1">
        <v>1</v>
      </c>
      <c r="J54" s="1">
        <v>1</v>
      </c>
      <c r="K54" s="1">
        <v>1</v>
      </c>
      <c r="N54" s="1">
        <v>890</v>
      </c>
      <c r="O54" s="1">
        <v>1745</v>
      </c>
      <c r="P54" s="1">
        <v>855</v>
      </c>
      <c r="S54" s="1" t="s">
        <v>42</v>
      </c>
      <c r="T54" s="1" t="s">
        <v>48</v>
      </c>
      <c r="U54" s="1">
        <v>105</v>
      </c>
      <c r="V54" s="5">
        <v>44322</v>
      </c>
      <c r="W54" s="5">
        <v>44322</v>
      </c>
      <c r="X54" s="1">
        <v>1200000</v>
      </c>
      <c r="AB54" s="1" t="s">
        <v>44</v>
      </c>
      <c r="AF54" s="1">
        <v>10002</v>
      </c>
      <c r="AI54" s="1" t="s">
        <v>54</v>
      </c>
      <c r="AJ54" s="1">
        <v>2019</v>
      </c>
      <c r="AK54" s="1" t="s">
        <v>55</v>
      </c>
      <c r="AL54" s="1">
        <v>45</v>
      </c>
    </row>
    <row r="55" spans="1:38" x14ac:dyDescent="0.2">
      <c r="A55" s="2" t="str">
        <f>HYPERLINK("https://www.compass.com/listing/150-rivington-street-unit-4b-manhattan-ny-10002/775421700978292881/","150 Rivington St, Unit 4B")</f>
        <v>150 Rivington St, Unit 4B</v>
      </c>
      <c r="B55" s="2" t="str">
        <f t="shared" si="8"/>
        <v>150 Rivington Street</v>
      </c>
      <c r="C55" s="1" t="s">
        <v>84</v>
      </c>
      <c r="D55" s="1" t="s">
        <v>41</v>
      </c>
      <c r="E55" s="3">
        <v>1200000</v>
      </c>
      <c r="F55" s="1">
        <v>1967.2131147540899</v>
      </c>
      <c r="G55" s="1">
        <v>3</v>
      </c>
      <c r="H55" s="1">
        <v>1</v>
      </c>
      <c r="I55" s="1">
        <v>1</v>
      </c>
      <c r="J55" s="1">
        <v>1</v>
      </c>
      <c r="K55" s="1">
        <v>1</v>
      </c>
      <c r="M55" s="1">
        <v>610</v>
      </c>
      <c r="N55" s="1">
        <v>890</v>
      </c>
      <c r="O55" s="1">
        <v>1745</v>
      </c>
      <c r="P55" s="1">
        <v>855</v>
      </c>
      <c r="S55" s="1" t="s">
        <v>42</v>
      </c>
      <c r="T55" s="1" t="s">
        <v>48</v>
      </c>
      <c r="U55" s="1">
        <v>105</v>
      </c>
      <c r="V55" s="5">
        <v>44413</v>
      </c>
      <c r="W55" s="5">
        <v>44322</v>
      </c>
      <c r="X55" s="1">
        <v>1200000</v>
      </c>
      <c r="AB55" s="1" t="s">
        <v>44</v>
      </c>
      <c r="AF55" s="1">
        <v>10002</v>
      </c>
      <c r="AI55" s="1" t="s">
        <v>54</v>
      </c>
      <c r="AJ55" s="1">
        <v>2019</v>
      </c>
      <c r="AK55" s="1" t="s">
        <v>55</v>
      </c>
      <c r="AL55" s="1">
        <v>45</v>
      </c>
    </row>
    <row r="56" spans="1:38" x14ac:dyDescent="0.2">
      <c r="A56" s="2" t="str">
        <f>HYPERLINK("https://www.compass.com/listing/150-rivington-street-unit-301-manhattan-ny-10002/754444043411611145/","150 Rivington St, Unit 301")</f>
        <v>150 Rivington St, Unit 301</v>
      </c>
      <c r="B56" s="2" t="str">
        <f t="shared" si="8"/>
        <v>150 Rivington Street</v>
      </c>
      <c r="C56" s="1" t="s">
        <v>84</v>
      </c>
      <c r="D56" s="1" t="s">
        <v>41</v>
      </c>
      <c r="E56" s="3">
        <v>2200000</v>
      </c>
      <c r="F56" s="1">
        <v>1810.6995884773601</v>
      </c>
      <c r="G56" s="1">
        <v>4</v>
      </c>
      <c r="H56" s="1">
        <v>2</v>
      </c>
      <c r="I56" s="1">
        <v>3</v>
      </c>
      <c r="J56" s="1">
        <v>2.5</v>
      </c>
      <c r="K56" s="1">
        <v>2</v>
      </c>
      <c r="L56" s="1">
        <v>1</v>
      </c>
      <c r="M56" s="4">
        <v>1215</v>
      </c>
      <c r="N56" s="1">
        <v>1695</v>
      </c>
      <c r="O56" s="1">
        <v>3858</v>
      </c>
      <c r="P56" s="1">
        <v>2163</v>
      </c>
      <c r="S56" s="1" t="s">
        <v>42</v>
      </c>
      <c r="T56" s="1" t="s">
        <v>48</v>
      </c>
      <c r="U56" s="1">
        <v>134</v>
      </c>
      <c r="V56" s="5">
        <v>44420</v>
      </c>
      <c r="W56" s="5">
        <v>44293</v>
      </c>
      <c r="X56" s="1">
        <v>2200000</v>
      </c>
      <c r="AB56" s="1" t="s">
        <v>44</v>
      </c>
      <c r="AF56" s="1">
        <v>10002</v>
      </c>
      <c r="AI56" s="1" t="s">
        <v>54</v>
      </c>
      <c r="AJ56" s="1">
        <v>2019</v>
      </c>
      <c r="AK56" s="1" t="s">
        <v>55</v>
      </c>
      <c r="AL56" s="1">
        <v>45</v>
      </c>
    </row>
    <row r="57" spans="1:38" x14ac:dyDescent="0.2">
      <c r="A57" s="2" t="str">
        <f>HYPERLINK("https://www.compass.com/listing/150-rivington-street-unit-6g-manhattan-ny-10002/710376464481412793/","150 Rivington St, Unit 6G")</f>
        <v>150 Rivington St, Unit 6G</v>
      </c>
      <c r="B57" s="2" t="str">
        <f t="shared" si="8"/>
        <v>150 Rivington Street</v>
      </c>
      <c r="C57" s="1" t="s">
        <v>84</v>
      </c>
      <c r="D57" s="1" t="s">
        <v>41</v>
      </c>
      <c r="E57" s="3">
        <v>2100000</v>
      </c>
      <c r="F57" s="1">
        <v>2040.81632653061</v>
      </c>
      <c r="G57" s="1">
        <v>4</v>
      </c>
      <c r="H57" s="1">
        <v>2</v>
      </c>
      <c r="I57" s="1">
        <v>2</v>
      </c>
      <c r="J57" s="1">
        <v>2</v>
      </c>
      <c r="K57" s="1">
        <v>2</v>
      </c>
      <c r="M57" s="4">
        <v>1029</v>
      </c>
      <c r="N57" s="1">
        <v>1457</v>
      </c>
      <c r="O57" s="1">
        <v>3317</v>
      </c>
      <c r="P57" s="1">
        <v>1860</v>
      </c>
      <c r="S57" s="1" t="s">
        <v>42</v>
      </c>
      <c r="T57" s="1" t="s">
        <v>48</v>
      </c>
      <c r="U57" s="1">
        <v>195</v>
      </c>
      <c r="V57" s="5">
        <v>44420</v>
      </c>
      <c r="W57" s="5">
        <v>44232</v>
      </c>
      <c r="X57" s="1">
        <v>2100000</v>
      </c>
      <c r="AB57" s="1" t="s">
        <v>44</v>
      </c>
      <c r="AF57" s="1">
        <v>10002</v>
      </c>
      <c r="AI57" s="1" t="s">
        <v>54</v>
      </c>
      <c r="AJ57" s="1">
        <v>2019</v>
      </c>
      <c r="AK57" s="1" t="s">
        <v>55</v>
      </c>
      <c r="AL57" s="1">
        <v>45</v>
      </c>
    </row>
    <row r="58" spans="1:38" x14ac:dyDescent="0.2">
      <c r="A58" s="2" t="str">
        <f>HYPERLINK("https://www.compass.com/listing/555-w-end-ave-unit-the-library-manhattan-ny-10024/297131605059626177/","555 W End Ave, Unit The Library")</f>
        <v>555 W End Ave, Unit The Library</v>
      </c>
      <c r="B58" s="2" t="str">
        <f>HYPERLINK("https://www.compass.com/building/555-west-end-avenue-manhattan-ny/292874438096018885/","555 West End Avenue")</f>
        <v>555 West End Avenue</v>
      </c>
      <c r="C58" s="1" t="s">
        <v>47</v>
      </c>
      <c r="D58" s="1" t="s">
        <v>41</v>
      </c>
      <c r="E58" s="3">
        <v>10500000</v>
      </c>
      <c r="F58" s="1">
        <v>3032.0531331215702</v>
      </c>
      <c r="G58" s="1">
        <v>7</v>
      </c>
      <c r="H58" s="1">
        <v>5</v>
      </c>
      <c r="I58" s="1">
        <v>6</v>
      </c>
      <c r="J58" s="1">
        <v>5.5</v>
      </c>
      <c r="K58" s="1">
        <v>5</v>
      </c>
      <c r="L58" s="1">
        <v>1</v>
      </c>
      <c r="M58" s="4">
        <v>3463</v>
      </c>
      <c r="N58" s="1">
        <v>4763.3999999999996</v>
      </c>
      <c r="O58" s="1">
        <v>12364.4</v>
      </c>
      <c r="P58" s="1">
        <v>7601</v>
      </c>
      <c r="S58" s="1" t="s">
        <v>42</v>
      </c>
      <c r="T58" s="1" t="s">
        <v>48</v>
      </c>
      <c r="U58" s="1">
        <v>671</v>
      </c>
      <c r="V58" s="5">
        <v>44410</v>
      </c>
      <c r="W58" s="5">
        <v>43662</v>
      </c>
      <c r="X58" s="1">
        <v>10500000</v>
      </c>
      <c r="AB58" s="1" t="s">
        <v>44</v>
      </c>
      <c r="AF58" s="1">
        <v>10024</v>
      </c>
      <c r="AJ58" s="1">
        <v>2019</v>
      </c>
      <c r="AK58" s="1" t="s">
        <v>55</v>
      </c>
      <c r="AL58" s="1">
        <v>13</v>
      </c>
    </row>
    <row r="59" spans="1:38" x14ac:dyDescent="0.2">
      <c r="A59" s="2" t="str">
        <f>HYPERLINK("https://www.compass.com/listing/30-park-place-unit-41a-manhattan-ny-10007/846025444305964185/","30 Park Pl, Unit 41A")</f>
        <v>30 Park Pl, Unit 41A</v>
      </c>
      <c r="B59" s="2" t="str">
        <f>HYPERLINK("https://www.compass.com/building/30-park-pl-manhattan-ny-10007/281896912905317605/","30 Park Pl")</f>
        <v>30 Park Pl</v>
      </c>
      <c r="C59" s="1" t="s">
        <v>40</v>
      </c>
      <c r="D59" s="1" t="s">
        <v>41</v>
      </c>
      <c r="E59" s="3">
        <v>6395000</v>
      </c>
      <c r="F59" s="1">
        <v>2881.92879675529</v>
      </c>
      <c r="G59" s="1">
        <v>5.5</v>
      </c>
      <c r="H59" s="1">
        <v>3</v>
      </c>
      <c r="I59" s="1">
        <v>4</v>
      </c>
      <c r="J59" s="1">
        <v>3.5</v>
      </c>
      <c r="K59" s="1">
        <v>3</v>
      </c>
      <c r="L59" s="1">
        <v>1</v>
      </c>
      <c r="M59" s="4">
        <v>2219</v>
      </c>
      <c r="N59" s="1">
        <v>1942</v>
      </c>
      <c r="O59" s="1">
        <v>6306</v>
      </c>
      <c r="P59" s="1">
        <v>4364</v>
      </c>
      <c r="Q59" s="1" t="s">
        <v>42</v>
      </c>
      <c r="S59" s="1" t="s">
        <v>42</v>
      </c>
      <c r="T59" s="1" t="s">
        <v>48</v>
      </c>
      <c r="U59" s="1">
        <v>9</v>
      </c>
      <c r="V59" s="5">
        <v>44420</v>
      </c>
      <c r="W59" s="5">
        <v>44418</v>
      </c>
      <c r="X59" s="1">
        <v>6395000</v>
      </c>
      <c r="AB59" s="1" t="s">
        <v>44</v>
      </c>
      <c r="AF59" s="1">
        <v>10007</v>
      </c>
      <c r="AJ59" s="1">
        <v>2016</v>
      </c>
      <c r="AK59" s="1" t="s">
        <v>50</v>
      </c>
      <c r="AL59" s="1">
        <v>157</v>
      </c>
    </row>
    <row r="60" spans="1:38" x14ac:dyDescent="0.2">
      <c r="A60" s="2" t="str">
        <f>HYPERLINK("https://www.compass.com/listing/455-west-19th-street-unit-3-manhattan-ny-10011/840910356704171393/","455 W 19th St, Unit 3")</f>
        <v>455 W 19th St, Unit 3</v>
      </c>
      <c r="B60" s="2" t="str">
        <f>HYPERLINK("https://www.compass.com/building/abi-chelsea-manhattan-ny/281910792461248565/","Abi Chelsea")</f>
        <v>Abi Chelsea</v>
      </c>
      <c r="C60" s="1" t="s">
        <v>62</v>
      </c>
      <c r="D60" s="1" t="s">
        <v>41</v>
      </c>
      <c r="E60" s="3">
        <v>9995000</v>
      </c>
      <c r="F60" s="1">
        <v>3634.54545454545</v>
      </c>
      <c r="G60" s="1">
        <v>8</v>
      </c>
      <c r="H60" s="1">
        <v>3</v>
      </c>
      <c r="J60" s="1">
        <v>3.5</v>
      </c>
      <c r="M60" s="4">
        <v>2750</v>
      </c>
      <c r="N60" s="1">
        <v>5862</v>
      </c>
      <c r="O60" s="1">
        <v>9551</v>
      </c>
      <c r="P60" s="1">
        <v>3689</v>
      </c>
      <c r="S60" s="1" t="s">
        <v>42</v>
      </c>
      <c r="T60" s="1" t="s">
        <v>48</v>
      </c>
      <c r="U60" s="1">
        <v>15</v>
      </c>
      <c r="V60" s="5">
        <v>44419</v>
      </c>
      <c r="W60" s="5">
        <v>44412</v>
      </c>
      <c r="X60" s="1">
        <v>9995000</v>
      </c>
      <c r="AB60" s="1" t="s">
        <v>44</v>
      </c>
      <c r="AF60" s="1">
        <v>10011</v>
      </c>
      <c r="AI60" s="1" t="s">
        <v>78</v>
      </c>
      <c r="AJ60" s="1">
        <v>2019</v>
      </c>
      <c r="AK60" s="1" t="s">
        <v>50</v>
      </c>
      <c r="AL60" s="1">
        <v>11</v>
      </c>
    </row>
    <row r="61" spans="1:38" x14ac:dyDescent="0.2">
      <c r="A61" s="2" t="str">
        <f>HYPERLINK("https://www.compass.com/listing/225-west-86th-street-unit-201-manhattan-ny-10024/847199424676336273/","225 W 86th St, Unit 201")</f>
        <v>225 W 86th St, Unit 201</v>
      </c>
      <c r="B61" s="2" t="str">
        <f>HYPERLINK("https://www.compass.com/building/the-belnord-manhattan-ny/292869672083214101/","The Belnord")</f>
        <v>The Belnord</v>
      </c>
      <c r="C61" s="1" t="s">
        <v>47</v>
      </c>
      <c r="D61" s="1" t="s">
        <v>41</v>
      </c>
      <c r="E61" s="3">
        <v>9250000</v>
      </c>
      <c r="F61" s="1">
        <v>2523.8744884038201</v>
      </c>
      <c r="G61" s="1">
        <v>8.5</v>
      </c>
      <c r="H61" s="1">
        <v>4</v>
      </c>
      <c r="I61" s="1">
        <v>5</v>
      </c>
      <c r="J61" s="1">
        <v>4.5</v>
      </c>
      <c r="K61" s="1">
        <v>4</v>
      </c>
      <c r="L61" s="1">
        <v>1</v>
      </c>
      <c r="M61" s="4">
        <v>3665</v>
      </c>
      <c r="N61" s="1">
        <v>3473</v>
      </c>
      <c r="O61" s="1">
        <v>9134</v>
      </c>
      <c r="P61" s="1">
        <v>5661</v>
      </c>
      <c r="Q61" s="1" t="s">
        <v>42</v>
      </c>
      <c r="S61" s="1" t="s">
        <v>42</v>
      </c>
      <c r="T61" s="1" t="s">
        <v>48</v>
      </c>
      <c r="U61" s="1">
        <v>7</v>
      </c>
      <c r="V61" s="5">
        <v>44427</v>
      </c>
      <c r="W61" s="5">
        <v>44420</v>
      </c>
      <c r="X61" s="1">
        <v>9250000</v>
      </c>
      <c r="AB61" s="1" t="s">
        <v>44</v>
      </c>
      <c r="AD61" s="1" t="s">
        <v>85</v>
      </c>
      <c r="AE61" s="1" t="s">
        <v>64</v>
      </c>
      <c r="AF61" s="1">
        <v>10024</v>
      </c>
      <c r="AI61" s="1" t="s">
        <v>67</v>
      </c>
      <c r="AJ61" s="1">
        <v>1908</v>
      </c>
      <c r="AK61" s="1" t="s">
        <v>81</v>
      </c>
      <c r="AL61" s="1">
        <v>213</v>
      </c>
    </row>
    <row r="62" spans="1:38" x14ac:dyDescent="0.2">
      <c r="A62" s="2" t="str">
        <f>HYPERLINK("https://www.compass.com/listing/30-park-place-unit-63c-manhattan-ny-10007/837030166189127737/","30 Park Pl, Unit 63C")</f>
        <v>30 Park Pl, Unit 63C</v>
      </c>
      <c r="B62" s="2" t="str">
        <f>HYPERLINK("https://www.compass.com/building/30-park-pl-manhattan-ny-10007/281896912905317605/","30 Park Pl")</f>
        <v>30 Park Pl</v>
      </c>
      <c r="C62" s="1" t="s">
        <v>40</v>
      </c>
      <c r="D62" s="1" t="s">
        <v>41</v>
      </c>
      <c r="E62" s="3">
        <v>4980000</v>
      </c>
      <c r="G62" s="1">
        <v>4</v>
      </c>
      <c r="H62" s="1">
        <v>2</v>
      </c>
      <c r="I62" s="1">
        <v>3</v>
      </c>
      <c r="J62" s="1">
        <v>2.5</v>
      </c>
      <c r="K62" s="1">
        <v>2</v>
      </c>
      <c r="L62" s="1">
        <v>1</v>
      </c>
      <c r="N62" s="1">
        <v>1348</v>
      </c>
      <c r="O62" s="1">
        <v>4515</v>
      </c>
      <c r="P62" s="1">
        <v>3167</v>
      </c>
      <c r="Q62" s="1" t="s">
        <v>42</v>
      </c>
      <c r="S62" s="1" t="s">
        <v>42</v>
      </c>
      <c r="T62" s="1" t="s">
        <v>48</v>
      </c>
      <c r="U62" s="1">
        <v>21</v>
      </c>
      <c r="V62" s="5">
        <v>44420</v>
      </c>
      <c r="W62" s="5">
        <v>44406</v>
      </c>
      <c r="X62" s="1">
        <v>5260000</v>
      </c>
      <c r="AB62" s="1" t="s">
        <v>44</v>
      </c>
      <c r="AF62" s="1">
        <v>10007</v>
      </c>
      <c r="AJ62" s="1">
        <v>2016</v>
      </c>
      <c r="AK62" s="1" t="s">
        <v>81</v>
      </c>
      <c r="AL62" s="1">
        <v>157</v>
      </c>
    </row>
    <row r="63" spans="1:38" x14ac:dyDescent="0.2">
      <c r="A63" s="2" t="str">
        <f>HYPERLINK("https://www.compass.com/listing/275-west-10th-street-unit-7e-manhattan-ny-10014/839515086723924649/","275 W 10th St, Unit 7E")</f>
        <v>275 W 10th St, Unit 7E</v>
      </c>
      <c r="B63" s="2" t="str">
        <f>HYPERLINK("https://www.compass.com/building/the-shephard-manhattan-ny/281931968864632917/","The Shephard")</f>
        <v>The Shephard</v>
      </c>
      <c r="C63" s="1" t="s">
        <v>68</v>
      </c>
      <c r="D63" s="1" t="s">
        <v>41</v>
      </c>
      <c r="E63" s="3">
        <v>9999000</v>
      </c>
      <c r="F63" s="1">
        <v>3164.2405063291098</v>
      </c>
      <c r="G63" s="1">
        <v>7.5</v>
      </c>
      <c r="H63" s="1">
        <v>3</v>
      </c>
      <c r="I63" s="1">
        <v>4</v>
      </c>
      <c r="J63" s="1">
        <v>3.5</v>
      </c>
      <c r="K63" s="1">
        <v>3</v>
      </c>
      <c r="L63" s="1">
        <v>1</v>
      </c>
      <c r="M63" s="4">
        <v>3160</v>
      </c>
      <c r="N63" s="1">
        <v>3060</v>
      </c>
      <c r="O63" s="1">
        <v>7497</v>
      </c>
      <c r="P63" s="1">
        <v>4437</v>
      </c>
      <c r="Q63" s="1" t="s">
        <v>42</v>
      </c>
      <c r="S63" s="1" t="s">
        <v>42</v>
      </c>
      <c r="T63" s="1" t="s">
        <v>48</v>
      </c>
      <c r="U63" s="1">
        <v>17</v>
      </c>
      <c r="V63" s="5">
        <v>44421</v>
      </c>
      <c r="W63" s="5">
        <v>44410</v>
      </c>
      <c r="X63" s="1">
        <v>9999000</v>
      </c>
      <c r="AB63" s="1" t="s">
        <v>44</v>
      </c>
      <c r="AF63" s="1">
        <v>10014</v>
      </c>
      <c r="AI63" s="1" t="s">
        <v>86</v>
      </c>
      <c r="AJ63" s="1">
        <v>2015</v>
      </c>
      <c r="AK63" s="1" t="s">
        <v>87</v>
      </c>
      <c r="AL63" s="1">
        <v>38</v>
      </c>
    </row>
    <row r="64" spans="1:38" x14ac:dyDescent="0.2">
      <c r="A64" s="2" t="str">
        <f>HYPERLINK("https://www.compass.com/listing/324-east-4th-street-unit-1a-manhattan-ny-10009/830433253128625097/","324 E 4th St, Unit 1A")</f>
        <v>324 E 4th St, Unit 1A</v>
      </c>
      <c r="B64" s="2" t="str">
        <f>HYPERLINK("https://www.compass.com/building/324-e-4th-st-manhattan-ny-10009/281899594583912869/","324 E 4th St")</f>
        <v>324 E 4th St</v>
      </c>
      <c r="C64" s="1" t="s">
        <v>88</v>
      </c>
      <c r="D64" s="1" t="s">
        <v>41</v>
      </c>
      <c r="E64" s="3">
        <v>1750000</v>
      </c>
      <c r="F64" s="1">
        <v>1406.75241157556</v>
      </c>
      <c r="G64" s="1">
        <v>4</v>
      </c>
      <c r="H64" s="1">
        <v>2</v>
      </c>
      <c r="I64" s="1">
        <v>2</v>
      </c>
      <c r="J64" s="1">
        <v>2</v>
      </c>
      <c r="K64" s="1">
        <v>2</v>
      </c>
      <c r="M64" s="4">
        <v>1244</v>
      </c>
      <c r="N64" s="1">
        <v>1210</v>
      </c>
      <c r="O64" s="1">
        <v>2805</v>
      </c>
      <c r="P64" s="1">
        <v>1595</v>
      </c>
      <c r="Q64" s="1" t="s">
        <v>42</v>
      </c>
      <c r="S64" s="1" t="s">
        <v>42</v>
      </c>
      <c r="T64" s="1" t="s">
        <v>48</v>
      </c>
      <c r="U64" s="1">
        <v>30</v>
      </c>
      <c r="V64" s="5">
        <v>44406</v>
      </c>
      <c r="W64" s="5">
        <v>44397</v>
      </c>
      <c r="X64" s="1">
        <v>1750000</v>
      </c>
      <c r="AB64" s="1" t="s">
        <v>44</v>
      </c>
      <c r="AF64" s="1">
        <v>10009</v>
      </c>
      <c r="AI64" s="1" t="s">
        <v>89</v>
      </c>
      <c r="AJ64" s="1">
        <v>1920</v>
      </c>
      <c r="AL64" s="1">
        <v>111</v>
      </c>
    </row>
    <row r="65" spans="1:38" x14ac:dyDescent="0.2">
      <c r="A65" s="2" t="str">
        <f>HYPERLINK("https://www.compass.com/listing/200-amsterdam-avenue-unit-36a-manhattan-ny-10023/846403109034456105/","200 Amsterdam Ave, Unit 36A")</f>
        <v>200 Amsterdam Ave, Unit 36A</v>
      </c>
      <c r="B65" s="2" t="str">
        <f>HYPERLINK("https://www.compass.com/building/200-amsterdam-manhattan-ny/344157234608153717/","200 Amsterdam")</f>
        <v>200 Amsterdam</v>
      </c>
      <c r="C65" s="1" t="s">
        <v>47</v>
      </c>
      <c r="D65" s="1" t="s">
        <v>41</v>
      </c>
      <c r="E65" s="3">
        <v>13300000</v>
      </c>
      <c r="F65" s="1">
        <v>4171.8946047678701</v>
      </c>
      <c r="G65" s="1">
        <v>7.5</v>
      </c>
      <c r="H65" s="1">
        <v>4</v>
      </c>
      <c r="I65" s="1">
        <v>5</v>
      </c>
      <c r="J65" s="1">
        <v>4.5</v>
      </c>
      <c r="K65" s="1">
        <v>4</v>
      </c>
      <c r="L65" s="1">
        <v>1</v>
      </c>
      <c r="M65" s="4">
        <v>3188</v>
      </c>
      <c r="N65" s="1">
        <v>3880</v>
      </c>
      <c r="O65" s="1">
        <v>9980</v>
      </c>
      <c r="P65" s="1">
        <v>6100</v>
      </c>
      <c r="Q65" s="1" t="s">
        <v>42</v>
      </c>
      <c r="S65" s="1" t="s">
        <v>42</v>
      </c>
      <c r="T65" s="1" t="s">
        <v>48</v>
      </c>
      <c r="U65" s="1">
        <v>8</v>
      </c>
      <c r="V65" s="5">
        <v>44420</v>
      </c>
      <c r="W65" s="5">
        <v>44419</v>
      </c>
      <c r="X65" s="1">
        <v>13300000</v>
      </c>
      <c r="AB65" s="1" t="s">
        <v>44</v>
      </c>
      <c r="AF65" s="1">
        <v>10023</v>
      </c>
      <c r="AI65" s="1" t="s">
        <v>58</v>
      </c>
      <c r="AJ65" s="1">
        <v>2021</v>
      </c>
      <c r="AK65" s="1" t="s">
        <v>81</v>
      </c>
      <c r="AL65" s="1">
        <v>112</v>
      </c>
    </row>
    <row r="66" spans="1:38" x14ac:dyDescent="0.2">
      <c r="A66" s="2" t="str">
        <f>HYPERLINK("https://www.compass.com/listing/231-west-26th-street-unit-1-manhattan-ny-10001/838043007376970881/","231 W 26th St, Unit 1")</f>
        <v>231 W 26th St, Unit 1</v>
      </c>
      <c r="B66" s="2" t="str">
        <f>HYPERLINK("https://www.compass.com/building/231-w-26th-st-manhattan-ny-10001/281882863094203013/","231 W 26th St")</f>
        <v>231 W 26th St</v>
      </c>
      <c r="C66" s="1" t="s">
        <v>62</v>
      </c>
      <c r="D66" s="1" t="s">
        <v>41</v>
      </c>
      <c r="E66" s="3">
        <v>2205000</v>
      </c>
      <c r="F66" s="1">
        <v>1762.58992805755</v>
      </c>
      <c r="G66" s="1">
        <v>4</v>
      </c>
      <c r="H66" s="1">
        <v>1</v>
      </c>
      <c r="I66" s="1">
        <v>2</v>
      </c>
      <c r="J66" s="1">
        <v>2</v>
      </c>
      <c r="K66" s="1">
        <v>2</v>
      </c>
      <c r="M66" s="4">
        <v>1251</v>
      </c>
      <c r="N66" s="1">
        <v>1030</v>
      </c>
      <c r="O66" s="1">
        <v>2214</v>
      </c>
      <c r="P66" s="1">
        <v>1184</v>
      </c>
      <c r="Q66" s="1" t="s">
        <v>42</v>
      </c>
      <c r="S66" s="1" t="s">
        <v>42</v>
      </c>
      <c r="T66" s="1" t="s">
        <v>48</v>
      </c>
      <c r="U66" s="1">
        <v>12</v>
      </c>
      <c r="V66" s="5">
        <v>44416</v>
      </c>
      <c r="W66" s="5">
        <v>44415</v>
      </c>
      <c r="X66" s="1">
        <v>2205000</v>
      </c>
      <c r="AB66" s="1" t="s">
        <v>44</v>
      </c>
      <c r="AF66" s="1">
        <v>10001</v>
      </c>
      <c r="AI66" s="1" t="s">
        <v>90</v>
      </c>
      <c r="AJ66" s="1">
        <v>2017</v>
      </c>
      <c r="AK66" s="1" t="s">
        <v>91</v>
      </c>
      <c r="AL66" s="1">
        <v>7</v>
      </c>
    </row>
    <row r="67" spans="1:38" x14ac:dyDescent="0.2">
      <c r="A67" s="2" t="str">
        <f>HYPERLINK("https://www.compass.com/listing/40-bleecker-street-unit-phf-manhattan-ny-10012/835499781492317401/","40 Bleecker St, Unit PHF")</f>
        <v>40 Bleecker St, Unit PHF</v>
      </c>
      <c r="B67" s="2" t="str">
        <f>HYPERLINK("https://www.compass.com/building/40-bleecker-manhattan-ny/282058881784380757/","40 Bleecker")</f>
        <v>40 Bleecker</v>
      </c>
      <c r="C67" s="1" t="s">
        <v>92</v>
      </c>
      <c r="D67" s="1" t="s">
        <v>41</v>
      </c>
      <c r="E67" s="3">
        <v>11000000</v>
      </c>
      <c r="F67" s="1">
        <v>4144.6872645064004</v>
      </c>
      <c r="G67" s="1">
        <v>7</v>
      </c>
      <c r="H67" s="1">
        <v>3</v>
      </c>
      <c r="I67" s="1">
        <v>4</v>
      </c>
      <c r="J67" s="1">
        <v>3.5</v>
      </c>
      <c r="K67" s="1">
        <v>3</v>
      </c>
      <c r="L67" s="1">
        <v>1</v>
      </c>
      <c r="M67" s="4">
        <v>2654</v>
      </c>
      <c r="N67" s="1">
        <v>4226</v>
      </c>
      <c r="O67" s="1">
        <v>9218</v>
      </c>
      <c r="P67" s="1">
        <v>4992</v>
      </c>
      <c r="Q67" s="1" t="s">
        <v>42</v>
      </c>
      <c r="S67" s="1" t="s">
        <v>42</v>
      </c>
      <c r="T67" s="1" t="s">
        <v>48</v>
      </c>
      <c r="U67" s="1">
        <v>23</v>
      </c>
      <c r="V67" s="5">
        <v>44407</v>
      </c>
      <c r="W67" s="5">
        <v>44404</v>
      </c>
      <c r="X67" s="1">
        <v>11000000</v>
      </c>
      <c r="AB67" s="1" t="s">
        <v>44</v>
      </c>
      <c r="AF67" s="1">
        <v>10012</v>
      </c>
      <c r="AI67" s="1" t="s">
        <v>93</v>
      </c>
      <c r="AJ67" s="1">
        <v>2019</v>
      </c>
      <c r="AK67" s="1" t="s">
        <v>94</v>
      </c>
      <c r="AL67" s="1">
        <v>61</v>
      </c>
    </row>
    <row r="68" spans="1:38" x14ac:dyDescent="0.2">
      <c r="A68" s="2" t="str">
        <f>HYPERLINK("https://www.compass.com/listing/50-west-30th-street-unit-21a-manhattan-ny-10001/844994772005883121/","50 W 30th St, Unit 21A")</f>
        <v>50 W 30th St, Unit 21A</v>
      </c>
      <c r="B68" s="2" t="str">
        <f>HYPERLINK("https://www.compass.com/building/the-noma-manhattan-ny/282058879016139621/","The NOMA")</f>
        <v>The NOMA</v>
      </c>
      <c r="C68" s="1" t="s">
        <v>95</v>
      </c>
      <c r="D68" s="1" t="s">
        <v>41</v>
      </c>
      <c r="E68" s="3">
        <v>2795000</v>
      </c>
      <c r="F68" s="1">
        <v>2101.5037593984898</v>
      </c>
      <c r="G68" s="1">
        <v>4</v>
      </c>
      <c r="H68" s="1">
        <v>2</v>
      </c>
      <c r="I68" s="1">
        <v>2</v>
      </c>
      <c r="J68" s="1">
        <v>2</v>
      </c>
      <c r="K68" s="1">
        <v>2</v>
      </c>
      <c r="M68" s="4">
        <v>1330</v>
      </c>
      <c r="N68" s="1">
        <v>1626</v>
      </c>
      <c r="O68" s="1">
        <v>4182</v>
      </c>
      <c r="P68" s="1">
        <v>2556</v>
      </c>
      <c r="Q68" s="1" t="s">
        <v>42</v>
      </c>
      <c r="S68" s="1" t="s">
        <v>42</v>
      </c>
      <c r="T68" s="1" t="s">
        <v>48</v>
      </c>
      <c r="U68" s="1">
        <v>10</v>
      </c>
      <c r="V68" s="5">
        <v>44418</v>
      </c>
      <c r="W68" s="5">
        <v>44417</v>
      </c>
      <c r="X68" s="1">
        <v>2795000</v>
      </c>
      <c r="AB68" s="1" t="s">
        <v>44</v>
      </c>
      <c r="AF68" s="1">
        <v>10001</v>
      </c>
      <c r="AI68" s="1" t="s">
        <v>45</v>
      </c>
      <c r="AJ68" s="1">
        <v>2017</v>
      </c>
      <c r="AK68" s="1" t="s">
        <v>87</v>
      </c>
      <c r="AL68" s="1">
        <v>55</v>
      </c>
    </row>
    <row r="69" spans="1:38" x14ac:dyDescent="0.2">
      <c r="A69" s="2" t="str">
        <f>HYPERLINK("https://www.compass.com/listing/212-west-95th-street-unit-11b-manhattan-ny-10025/832761091435766393/","212 W 95th St, Unit 11B")</f>
        <v>212 W 95th St, Unit 11B</v>
      </c>
      <c r="B69" s="2" t="str">
        <f>HYPERLINK("https://www.compass.com/building/dahlia-manhattan-ny/282058919214351605/","Dahlia")</f>
        <v>Dahlia</v>
      </c>
      <c r="C69" s="1" t="s">
        <v>47</v>
      </c>
      <c r="D69" s="1" t="s">
        <v>41</v>
      </c>
      <c r="E69" s="3">
        <v>3100000</v>
      </c>
      <c r="F69" s="1">
        <v>2110.2791014295399</v>
      </c>
      <c r="G69" s="1">
        <v>5</v>
      </c>
      <c r="H69" s="1">
        <v>3</v>
      </c>
      <c r="I69" s="1">
        <v>3</v>
      </c>
      <c r="J69" s="1">
        <v>3</v>
      </c>
      <c r="K69" s="1">
        <v>3</v>
      </c>
      <c r="M69" s="4">
        <v>1469</v>
      </c>
      <c r="N69" s="1">
        <v>1389</v>
      </c>
      <c r="O69" s="1">
        <v>4153</v>
      </c>
      <c r="P69" s="1">
        <v>2764</v>
      </c>
      <c r="Q69" s="1" t="s">
        <v>42</v>
      </c>
      <c r="S69" s="1" t="s">
        <v>42</v>
      </c>
      <c r="T69" s="1" t="s">
        <v>48</v>
      </c>
      <c r="U69" s="1">
        <v>27</v>
      </c>
      <c r="V69" s="5">
        <v>44409</v>
      </c>
      <c r="W69" s="5">
        <v>44400</v>
      </c>
      <c r="X69" s="1">
        <v>3100000</v>
      </c>
      <c r="AB69" s="1" t="s">
        <v>44</v>
      </c>
      <c r="AF69" s="1">
        <v>10025</v>
      </c>
      <c r="AI69" s="1" t="s">
        <v>52</v>
      </c>
      <c r="AJ69" s="1">
        <v>2019</v>
      </c>
      <c r="AK69" s="1" t="s">
        <v>87</v>
      </c>
      <c r="AL69" s="1">
        <v>38</v>
      </c>
    </row>
    <row r="70" spans="1:38" x14ac:dyDescent="0.2">
      <c r="A70" s="2" t="str">
        <f>HYPERLINK("https://www.compass.com/listing/40-east-end-avenue-unit-8a-manhattan-ny-10028/844843400042857577/","40 E End Ave, Unit 8A")</f>
        <v>40 E End Ave, Unit 8A</v>
      </c>
      <c r="B70" s="2" t="str">
        <f>HYPERLINK("https://www.compass.com/building/40-e-end-ave-manhattan-ny-10028/281986569399806037/","40 E End Ave")</f>
        <v>40 E End Ave</v>
      </c>
      <c r="C70" s="1" t="s">
        <v>53</v>
      </c>
      <c r="D70" s="1" t="s">
        <v>41</v>
      </c>
      <c r="E70" s="3">
        <v>5450990</v>
      </c>
      <c r="F70" s="1">
        <v>2445.4867653656302</v>
      </c>
      <c r="G70" s="1">
        <v>5</v>
      </c>
      <c r="H70" s="1">
        <v>3</v>
      </c>
      <c r="I70" s="1">
        <v>4</v>
      </c>
      <c r="J70" s="1">
        <v>3.5</v>
      </c>
      <c r="K70" s="1">
        <v>3</v>
      </c>
      <c r="L70" s="1">
        <v>1</v>
      </c>
      <c r="M70" s="4">
        <v>2229</v>
      </c>
      <c r="N70" s="1">
        <v>2309</v>
      </c>
      <c r="O70" s="1">
        <v>5610</v>
      </c>
      <c r="P70" s="1">
        <v>3301</v>
      </c>
      <c r="Q70" s="1" t="s">
        <v>42</v>
      </c>
      <c r="S70" s="1" t="s">
        <v>42</v>
      </c>
      <c r="T70" s="1" t="s">
        <v>48</v>
      </c>
      <c r="U70" s="1">
        <v>10</v>
      </c>
      <c r="V70" s="5">
        <v>44418</v>
      </c>
      <c r="W70" s="5">
        <v>44417</v>
      </c>
      <c r="X70" s="1">
        <v>5450990</v>
      </c>
      <c r="AB70" s="1" t="s">
        <v>44</v>
      </c>
      <c r="AF70" s="1">
        <v>10028</v>
      </c>
      <c r="AI70" s="1" t="s">
        <v>96</v>
      </c>
      <c r="AJ70" s="1">
        <v>2019</v>
      </c>
      <c r="AK70" s="1" t="s">
        <v>81</v>
      </c>
      <c r="AL70" s="1">
        <v>29</v>
      </c>
    </row>
    <row r="71" spans="1:38" x14ac:dyDescent="0.2">
      <c r="A71" s="2" t="str">
        <f>HYPERLINK("https://www.compass.com/listing/212-west-95th-street-unit-12a-manhattan-ny-10025/832848119316653865/","212 W 95th St, Unit 12A")</f>
        <v>212 W 95th St, Unit 12A</v>
      </c>
      <c r="B71" s="2" t="str">
        <f t="shared" ref="B71:B72" si="9">HYPERLINK("https://www.compass.com/building/dahlia-manhattan-ny/282058919214351605/","Dahlia")</f>
        <v>Dahlia</v>
      </c>
      <c r="C71" s="1" t="s">
        <v>47</v>
      </c>
      <c r="D71" s="1" t="s">
        <v>41</v>
      </c>
      <c r="E71" s="3">
        <v>3525000</v>
      </c>
      <c r="F71" s="1">
        <v>2325.1978891820499</v>
      </c>
      <c r="G71" s="1">
        <v>5</v>
      </c>
      <c r="H71" s="1">
        <v>3</v>
      </c>
      <c r="I71" s="1">
        <v>3</v>
      </c>
      <c r="J71" s="1">
        <v>3</v>
      </c>
      <c r="K71" s="1">
        <v>3</v>
      </c>
      <c r="M71" s="4">
        <v>1516</v>
      </c>
      <c r="N71" s="1">
        <v>1512</v>
      </c>
      <c r="O71" s="1">
        <v>4521</v>
      </c>
      <c r="P71" s="1">
        <v>3009</v>
      </c>
      <c r="Q71" s="1" t="s">
        <v>42</v>
      </c>
      <c r="S71" s="1" t="s">
        <v>42</v>
      </c>
      <c r="T71" s="1" t="s">
        <v>48</v>
      </c>
      <c r="U71" s="1">
        <v>27</v>
      </c>
      <c r="V71" s="5">
        <v>44409</v>
      </c>
      <c r="W71" s="5">
        <v>44400</v>
      </c>
      <c r="X71" s="1">
        <v>3525000</v>
      </c>
      <c r="AB71" s="1" t="s">
        <v>44</v>
      </c>
      <c r="AF71" s="1">
        <v>10025</v>
      </c>
      <c r="AI71" s="1" t="s">
        <v>52</v>
      </c>
      <c r="AJ71" s="1">
        <v>2019</v>
      </c>
      <c r="AK71" s="1" t="s">
        <v>87</v>
      </c>
      <c r="AL71" s="1">
        <v>38</v>
      </c>
    </row>
    <row r="72" spans="1:38" x14ac:dyDescent="0.2">
      <c r="A72" s="2" t="str">
        <f>HYPERLINK("https://www.compass.com/listing/212-west-95th-street-unit-16a-manhattan-ny-10025/832782390950347985/","212 W 95th St, Unit 16A")</f>
        <v>212 W 95th St, Unit 16A</v>
      </c>
      <c r="B72" s="2" t="str">
        <f t="shared" si="9"/>
        <v>Dahlia</v>
      </c>
      <c r="C72" s="1" t="s">
        <v>47</v>
      </c>
      <c r="D72" s="1" t="s">
        <v>41</v>
      </c>
      <c r="E72" s="3">
        <v>4500000</v>
      </c>
      <c r="F72" s="1">
        <v>2602.6604973973299</v>
      </c>
      <c r="G72" s="1">
        <v>5</v>
      </c>
      <c r="H72" s="1">
        <v>3</v>
      </c>
      <c r="I72" s="1">
        <v>3</v>
      </c>
      <c r="J72" s="1">
        <v>3</v>
      </c>
      <c r="K72" s="1">
        <v>3</v>
      </c>
      <c r="M72" s="4">
        <v>1729</v>
      </c>
      <c r="N72" s="1">
        <v>2016</v>
      </c>
      <c r="O72" s="1">
        <v>6028</v>
      </c>
      <c r="P72" s="1">
        <v>4012</v>
      </c>
      <c r="Q72" s="1" t="s">
        <v>42</v>
      </c>
      <c r="S72" s="1" t="s">
        <v>42</v>
      </c>
      <c r="T72" s="1" t="s">
        <v>48</v>
      </c>
      <c r="U72" s="1">
        <v>27</v>
      </c>
      <c r="V72" s="5">
        <v>44409</v>
      </c>
      <c r="W72" s="5">
        <v>44400</v>
      </c>
      <c r="X72" s="1">
        <v>4500000</v>
      </c>
      <c r="AB72" s="1" t="s">
        <v>44</v>
      </c>
      <c r="AF72" s="1">
        <v>10025</v>
      </c>
      <c r="AI72" s="1" t="s">
        <v>52</v>
      </c>
      <c r="AJ72" s="1">
        <v>2019</v>
      </c>
      <c r="AK72" s="1" t="s">
        <v>87</v>
      </c>
      <c r="AL72" s="1">
        <v>38</v>
      </c>
    </row>
    <row r="73" spans="1:38" x14ac:dyDescent="0.2">
      <c r="A73" s="2" t="str">
        <f>HYPERLINK("https://www.compass.com/listing/30-park-place-unit-54b-manhattan-ny-10007/821705910696691561/","30 Park Pl, Unit 54B")</f>
        <v>30 Park Pl, Unit 54B</v>
      </c>
      <c r="B73" s="2" t="str">
        <f>HYPERLINK("https://www.compass.com/building/30-park-pl-manhattan-ny-10007/281896912905317605/","30 Park Pl")</f>
        <v>30 Park Pl</v>
      </c>
      <c r="C73" s="1" t="s">
        <v>40</v>
      </c>
      <c r="D73" s="1" t="s">
        <v>41</v>
      </c>
      <c r="E73" s="3">
        <v>6650000</v>
      </c>
      <c r="F73" s="1">
        <v>3004.9706281066401</v>
      </c>
      <c r="G73" s="1">
        <v>6</v>
      </c>
      <c r="H73" s="1">
        <v>3</v>
      </c>
      <c r="I73" s="1">
        <v>4</v>
      </c>
      <c r="J73" s="1">
        <v>3.5</v>
      </c>
      <c r="K73" s="1">
        <v>3</v>
      </c>
      <c r="L73" s="1">
        <v>1</v>
      </c>
      <c r="M73" s="4">
        <v>2213</v>
      </c>
      <c r="N73" s="1">
        <v>1940</v>
      </c>
      <c r="O73" s="1">
        <v>6322</v>
      </c>
      <c r="P73" s="1">
        <v>4382</v>
      </c>
      <c r="Q73" s="1" t="s">
        <v>42</v>
      </c>
      <c r="S73" s="1" t="s">
        <v>42</v>
      </c>
      <c r="T73" s="1" t="s">
        <v>48</v>
      </c>
      <c r="U73" s="1">
        <v>42</v>
      </c>
      <c r="V73" s="5">
        <v>44427</v>
      </c>
      <c r="W73" s="5">
        <v>44385</v>
      </c>
      <c r="X73" s="1">
        <v>6800000</v>
      </c>
      <c r="AB73" s="1" t="s">
        <v>44</v>
      </c>
      <c r="AF73" s="1">
        <v>10007</v>
      </c>
      <c r="AJ73" s="1">
        <v>2016</v>
      </c>
      <c r="AK73" s="1" t="s">
        <v>81</v>
      </c>
      <c r="AL73" s="1">
        <v>157</v>
      </c>
    </row>
    <row r="74" spans="1:38" x14ac:dyDescent="0.2">
      <c r="A74" s="2" t="str">
        <f>HYPERLINK("https://www.compass.com/listing/175-west-95th-street-unit-14c-manhattan-ny-10025/807305557305474921/","175 W 95th St, Unit 14C")</f>
        <v>175 W 95th St, Unit 14C</v>
      </c>
      <c r="B74" s="2" t="str">
        <f>HYPERLINK("https://www.compass.com/building/175-w-95th-manhattan-ny/292876785429866517/","175 W 95th")</f>
        <v>175 W 95th</v>
      </c>
      <c r="C74" s="1" t="s">
        <v>47</v>
      </c>
      <c r="D74" s="1" t="s">
        <v>41</v>
      </c>
      <c r="E74" s="3">
        <v>1949000</v>
      </c>
      <c r="F74" s="1">
        <v>1555.46687948922</v>
      </c>
      <c r="G74" s="1">
        <v>5.5</v>
      </c>
      <c r="H74" s="1">
        <v>3</v>
      </c>
      <c r="I74" s="1">
        <v>2</v>
      </c>
      <c r="J74" s="1">
        <v>2</v>
      </c>
      <c r="K74" s="1">
        <v>2</v>
      </c>
      <c r="M74" s="4">
        <v>1253</v>
      </c>
      <c r="N74" s="1">
        <v>1335</v>
      </c>
      <c r="O74" s="1">
        <v>2418</v>
      </c>
      <c r="P74" s="1">
        <v>1083</v>
      </c>
      <c r="Q74" s="1" t="s">
        <v>42</v>
      </c>
      <c r="S74" s="1" t="s">
        <v>42</v>
      </c>
      <c r="T74" s="1" t="s">
        <v>48</v>
      </c>
      <c r="U74" s="1">
        <v>61</v>
      </c>
      <c r="V74" s="5">
        <v>44425</v>
      </c>
      <c r="W74" s="5">
        <v>44366</v>
      </c>
      <c r="X74" s="1">
        <v>1949000</v>
      </c>
      <c r="AB74" s="1" t="s">
        <v>44</v>
      </c>
      <c r="AF74" s="1">
        <v>10025</v>
      </c>
      <c r="AI74" s="1" t="s">
        <v>97</v>
      </c>
      <c r="AJ74" s="1">
        <v>1971</v>
      </c>
      <c r="AK74" s="1" t="s">
        <v>81</v>
      </c>
      <c r="AL74" s="1">
        <v>226</v>
      </c>
    </row>
    <row r="75" spans="1:38" x14ac:dyDescent="0.2">
      <c r="A75" s="2" t="str">
        <f>HYPERLINK("https://www.compass.com/listing/200-amsterdam-avenue-unit-18b-manhattan-ny-10023/837642661747998953/","200 Amsterdam Ave, Unit 18B")</f>
        <v>200 Amsterdam Ave, Unit 18B</v>
      </c>
      <c r="B75" s="2" t="str">
        <f t="shared" ref="B75:B76" si="10">HYPERLINK("https://www.compass.com/building/200-amsterdam-manhattan-ny/344157234608153717/","200 Amsterdam")</f>
        <v>200 Amsterdam</v>
      </c>
      <c r="C75" s="1" t="s">
        <v>47</v>
      </c>
      <c r="D75" s="1" t="s">
        <v>41</v>
      </c>
      <c r="E75" s="3">
        <v>5100000</v>
      </c>
      <c r="F75" s="1">
        <v>2384.2917251051799</v>
      </c>
      <c r="G75" s="1">
        <v>4</v>
      </c>
      <c r="H75" s="1">
        <v>2</v>
      </c>
      <c r="I75" s="1">
        <v>3</v>
      </c>
      <c r="J75" s="1">
        <v>2.5</v>
      </c>
      <c r="K75" s="1">
        <v>2</v>
      </c>
      <c r="L75" s="1">
        <v>1</v>
      </c>
      <c r="M75" s="4">
        <v>2139</v>
      </c>
      <c r="N75" s="1">
        <v>2170</v>
      </c>
      <c r="O75" s="1">
        <v>5582</v>
      </c>
      <c r="P75" s="1">
        <v>3412</v>
      </c>
      <c r="Q75" s="1" t="s">
        <v>42</v>
      </c>
      <c r="S75" s="1" t="s">
        <v>42</v>
      </c>
      <c r="T75" s="1" t="s">
        <v>48</v>
      </c>
      <c r="U75" s="1">
        <v>20</v>
      </c>
      <c r="V75" s="5">
        <v>44408</v>
      </c>
      <c r="W75" s="5">
        <v>44407</v>
      </c>
      <c r="X75" s="1">
        <v>1</v>
      </c>
      <c r="AB75" s="1" t="s">
        <v>44</v>
      </c>
      <c r="AF75" s="1">
        <v>10023</v>
      </c>
      <c r="AI75" s="1" t="s">
        <v>58</v>
      </c>
      <c r="AJ75" s="1">
        <v>2021</v>
      </c>
      <c r="AK75" s="1" t="s">
        <v>81</v>
      </c>
      <c r="AL75" s="1">
        <v>112</v>
      </c>
    </row>
    <row r="76" spans="1:38" x14ac:dyDescent="0.2">
      <c r="A76" s="2" t="str">
        <f>HYPERLINK("https://www.compass.com/listing/200-amsterdam-avenue-unit-34b-manhattan-ny-10023/837642688533664681/","200 Amsterdam Ave, Unit 34B")</f>
        <v>200 Amsterdam Ave, Unit 34B</v>
      </c>
      <c r="B76" s="2" t="str">
        <f t="shared" si="10"/>
        <v>200 Amsterdam</v>
      </c>
      <c r="C76" s="1" t="s">
        <v>47</v>
      </c>
      <c r="D76" s="1" t="s">
        <v>41</v>
      </c>
      <c r="E76" s="3">
        <v>10600000</v>
      </c>
      <c r="F76" s="1">
        <v>3937.5928677563102</v>
      </c>
      <c r="G76" s="1">
        <v>6</v>
      </c>
      <c r="H76" s="1">
        <v>3</v>
      </c>
      <c r="I76" s="1">
        <v>4</v>
      </c>
      <c r="J76" s="1">
        <v>3.5</v>
      </c>
      <c r="K76" s="1">
        <v>3</v>
      </c>
      <c r="L76" s="1">
        <v>1</v>
      </c>
      <c r="M76" s="4">
        <v>2692</v>
      </c>
      <c r="N76" s="1">
        <v>3009</v>
      </c>
      <c r="O76" s="1">
        <v>7740</v>
      </c>
      <c r="P76" s="1">
        <v>4731</v>
      </c>
      <c r="Q76" s="1" t="s">
        <v>42</v>
      </c>
      <c r="S76" s="1" t="s">
        <v>42</v>
      </c>
      <c r="T76" s="1" t="s">
        <v>48</v>
      </c>
      <c r="U76" s="1">
        <v>20</v>
      </c>
      <c r="V76" s="5">
        <v>44408</v>
      </c>
      <c r="W76" s="5">
        <v>44407</v>
      </c>
      <c r="X76" s="1">
        <v>10600000</v>
      </c>
      <c r="AB76" s="1" t="s">
        <v>44</v>
      </c>
      <c r="AF76" s="1">
        <v>10023</v>
      </c>
      <c r="AI76" s="1" t="s">
        <v>58</v>
      </c>
      <c r="AJ76" s="1">
        <v>2021</v>
      </c>
      <c r="AK76" s="1" t="s">
        <v>81</v>
      </c>
      <c r="AL76" s="1">
        <v>112</v>
      </c>
    </row>
    <row r="77" spans="1:38" x14ac:dyDescent="0.2">
      <c r="A77" s="2" t="str">
        <f>HYPERLINK("https://www.compass.com/listing/455-west-19th-street-unit-4s-manhattan-ny-10011/796691233626501289/","455 W 19th St, Unit 4S")</f>
        <v>455 W 19th St, Unit 4S</v>
      </c>
      <c r="B77" s="2" t="str">
        <f>HYPERLINK("https://www.compass.com/building/abi-chelsea-manhattan-ny/281910792461248565/","Abi Chelsea")</f>
        <v>Abi Chelsea</v>
      </c>
      <c r="C77" s="1" t="s">
        <v>62</v>
      </c>
      <c r="D77" s="1" t="s">
        <v>41</v>
      </c>
      <c r="E77" s="3">
        <v>2950000</v>
      </c>
      <c r="G77" s="1">
        <v>4</v>
      </c>
      <c r="H77" s="1">
        <v>2</v>
      </c>
      <c r="I77" s="1">
        <v>2</v>
      </c>
      <c r="J77" s="1">
        <v>2</v>
      </c>
      <c r="K77" s="1">
        <v>2</v>
      </c>
      <c r="N77" s="1">
        <v>2636</v>
      </c>
      <c r="O77" s="1">
        <v>4072</v>
      </c>
      <c r="P77" s="1">
        <v>1436</v>
      </c>
      <c r="Q77" s="1" t="s">
        <v>42</v>
      </c>
      <c r="S77" s="1" t="s">
        <v>42</v>
      </c>
      <c r="T77" s="1" t="s">
        <v>48</v>
      </c>
      <c r="U77" s="1">
        <v>77</v>
      </c>
      <c r="V77" s="5">
        <v>44427</v>
      </c>
      <c r="W77" s="5">
        <v>44350</v>
      </c>
      <c r="X77" s="1">
        <v>2950000</v>
      </c>
      <c r="AB77" s="1" t="s">
        <v>44</v>
      </c>
      <c r="AF77" s="1">
        <v>10011</v>
      </c>
      <c r="AI77" s="1" t="s">
        <v>78</v>
      </c>
      <c r="AJ77" s="1">
        <v>2019</v>
      </c>
      <c r="AK77" s="1" t="s">
        <v>50</v>
      </c>
      <c r="AL77" s="1">
        <v>11</v>
      </c>
    </row>
    <row r="78" spans="1:38" x14ac:dyDescent="0.2">
      <c r="A78" s="2" t="str">
        <f>HYPERLINK("https://www.compass.com/listing/30-park-place-unit-39g-manhattan-ny-10007/764381984809653721/","30 Park Pl, Unit 39G")</f>
        <v>30 Park Pl, Unit 39G</v>
      </c>
      <c r="B78" s="2" t="str">
        <f t="shared" ref="B78:B79" si="11">HYPERLINK("https://www.compass.com/building/30-park-pl-manhattan-ny-10007/281896912905317605/","30 Park Pl")</f>
        <v>30 Park Pl</v>
      </c>
      <c r="C78" s="1" t="s">
        <v>40</v>
      </c>
      <c r="D78" s="1" t="s">
        <v>41</v>
      </c>
      <c r="E78" s="3">
        <v>2495000</v>
      </c>
      <c r="F78" s="1">
        <v>3403.8199181446098</v>
      </c>
      <c r="G78" s="1">
        <v>3</v>
      </c>
      <c r="H78" s="1">
        <v>1</v>
      </c>
      <c r="I78" s="1">
        <v>1</v>
      </c>
      <c r="J78" s="1">
        <v>1</v>
      </c>
      <c r="K78" s="1">
        <v>1</v>
      </c>
      <c r="M78" s="1">
        <v>733</v>
      </c>
      <c r="N78" s="1">
        <v>625.33000000000004</v>
      </c>
      <c r="O78" s="1">
        <v>2153.66</v>
      </c>
      <c r="P78" s="1">
        <v>1528.3333333333301</v>
      </c>
      <c r="Q78" s="1" t="s">
        <v>42</v>
      </c>
      <c r="S78" s="1" t="s">
        <v>42</v>
      </c>
      <c r="T78" s="1" t="s">
        <v>48</v>
      </c>
      <c r="U78" s="1">
        <v>121</v>
      </c>
      <c r="V78" s="5">
        <v>44426</v>
      </c>
      <c r="W78" s="5">
        <v>44306</v>
      </c>
      <c r="X78" s="1">
        <v>2495000</v>
      </c>
      <c r="AB78" s="1" t="s">
        <v>44</v>
      </c>
      <c r="AF78" s="1">
        <v>10007</v>
      </c>
      <c r="AI78" s="1" t="s">
        <v>58</v>
      </c>
      <c r="AJ78" s="1">
        <v>2016</v>
      </c>
      <c r="AK78" s="1" t="s">
        <v>81</v>
      </c>
      <c r="AL78" s="1">
        <v>157</v>
      </c>
    </row>
    <row r="79" spans="1:38" x14ac:dyDescent="0.2">
      <c r="A79" s="2" t="str">
        <f>HYPERLINK("https://www.compass.com/listing/30-park-place-unit-60c-manhattan-ny-10007/603545580234795409/","30 Park Pl, Unit 60C")</f>
        <v>30 Park Pl, Unit 60C</v>
      </c>
      <c r="B79" s="2" t="str">
        <f t="shared" si="11"/>
        <v>30 Park Pl</v>
      </c>
      <c r="C79" s="1" t="s">
        <v>40</v>
      </c>
      <c r="D79" s="1" t="s">
        <v>41</v>
      </c>
      <c r="E79" s="3">
        <v>4850000</v>
      </c>
      <c r="F79" s="1">
        <v>3143.2274789371299</v>
      </c>
      <c r="G79" s="1">
        <v>4</v>
      </c>
      <c r="H79" s="1">
        <v>2</v>
      </c>
      <c r="I79" s="1">
        <v>3</v>
      </c>
      <c r="J79" s="1">
        <v>2.5</v>
      </c>
      <c r="K79" s="1">
        <v>2</v>
      </c>
      <c r="L79" s="1">
        <v>1</v>
      </c>
      <c r="M79" s="4">
        <v>1543</v>
      </c>
      <c r="N79" s="1">
        <v>1341</v>
      </c>
      <c r="O79" s="1">
        <v>4580</v>
      </c>
      <c r="P79" s="1">
        <v>3239</v>
      </c>
      <c r="Q79" s="1" t="s">
        <v>42</v>
      </c>
      <c r="S79" s="1" t="s">
        <v>42</v>
      </c>
      <c r="T79" s="1" t="s">
        <v>48</v>
      </c>
      <c r="U79" s="1">
        <v>343</v>
      </c>
      <c r="V79" s="5">
        <v>44421</v>
      </c>
      <c r="W79" s="5">
        <v>44084</v>
      </c>
      <c r="X79" s="1">
        <v>5150000</v>
      </c>
      <c r="AB79" s="1" t="s">
        <v>44</v>
      </c>
      <c r="AF79" s="1">
        <v>10007</v>
      </c>
      <c r="AI79" s="1" t="s">
        <v>98</v>
      </c>
      <c r="AJ79" s="1">
        <v>2016</v>
      </c>
      <c r="AK79" s="1" t="s">
        <v>81</v>
      </c>
      <c r="AL79" s="1">
        <v>157</v>
      </c>
    </row>
    <row r="80" spans="1:38" x14ac:dyDescent="0.2">
      <c r="A80" s="2" t="str">
        <f>HYPERLINK("https://www.compass.com/listing/308-west-30th-street-unit-8a-manhattan-ny-10001/4852321705772713585/","308 W 30th St, Unit 8A")</f>
        <v>308 W 30th St, Unit 8A</v>
      </c>
      <c r="B80" s="2" t="str">
        <f>HYPERLINK("https://www.compass.com/building/the-irvin-house-manhattan-ny/281883290133070869/","The Irvin House")</f>
        <v>The Irvin House</v>
      </c>
      <c r="C80" s="1" t="s">
        <v>62</v>
      </c>
      <c r="D80" s="1" t="s">
        <v>41</v>
      </c>
      <c r="E80" s="3">
        <v>875000</v>
      </c>
      <c r="F80" s="1">
        <v>1532.3992994746</v>
      </c>
      <c r="G80" s="1">
        <v>3</v>
      </c>
      <c r="H80" s="1">
        <v>2</v>
      </c>
      <c r="I80" s="1">
        <v>1</v>
      </c>
      <c r="J80" s="1">
        <v>1</v>
      </c>
      <c r="K80" s="1">
        <v>1</v>
      </c>
      <c r="M80" s="1">
        <v>571</v>
      </c>
      <c r="N80" s="1">
        <v>453</v>
      </c>
      <c r="O80" s="1">
        <v>1099</v>
      </c>
      <c r="P80" s="1">
        <v>646</v>
      </c>
      <c r="Q80" s="1" t="s">
        <v>42</v>
      </c>
      <c r="S80" s="1" t="s">
        <v>42</v>
      </c>
      <c r="T80" s="1" t="s">
        <v>48</v>
      </c>
      <c r="U80" s="1">
        <v>29</v>
      </c>
      <c r="V80" s="5">
        <v>44427</v>
      </c>
      <c r="W80" s="5">
        <v>44398</v>
      </c>
      <c r="AB80" s="1" t="s">
        <v>44</v>
      </c>
      <c r="AF80" s="1">
        <v>10001</v>
      </c>
      <c r="AI80" s="1" t="s">
        <v>99</v>
      </c>
      <c r="AJ80" s="1">
        <v>1925</v>
      </c>
      <c r="AL80" s="1">
        <v>61</v>
      </c>
    </row>
    <row r="81" spans="1:38" x14ac:dyDescent="0.2">
      <c r="A81" s="2" t="str">
        <f>HYPERLINK("https://www.compass.com/listing/30-park-place-unit-68a-manhattan-ny-10007/547961379691547849/","30 Park Pl, Unit 68A")</f>
        <v>30 Park Pl, Unit 68A</v>
      </c>
      <c r="B81" s="2" t="str">
        <f>HYPERLINK("https://www.compass.com/building/30-park-pl-manhattan-ny-10007/281896912905317605/","30 Park Pl")</f>
        <v>30 Park Pl</v>
      </c>
      <c r="C81" s="1" t="s">
        <v>40</v>
      </c>
      <c r="D81" s="1" t="s">
        <v>41</v>
      </c>
      <c r="E81" s="3">
        <v>11000000</v>
      </c>
      <c r="F81" s="1">
        <v>2973.7766964044299</v>
      </c>
      <c r="G81" s="1">
        <v>8</v>
      </c>
      <c r="H81" s="1">
        <v>4</v>
      </c>
      <c r="I81" s="1">
        <v>6</v>
      </c>
      <c r="J81" s="1">
        <v>5.5</v>
      </c>
      <c r="K81" s="1">
        <v>5</v>
      </c>
      <c r="L81" s="1">
        <v>1</v>
      </c>
      <c r="M81" s="4">
        <v>3699</v>
      </c>
      <c r="N81" s="1">
        <v>3415</v>
      </c>
      <c r="O81" s="1">
        <v>11895</v>
      </c>
      <c r="P81" s="1">
        <v>8480</v>
      </c>
      <c r="Q81" s="1" t="s">
        <v>42</v>
      </c>
      <c r="S81" s="1" t="s">
        <v>42</v>
      </c>
      <c r="T81" s="1" t="s">
        <v>48</v>
      </c>
      <c r="U81" s="1">
        <v>210</v>
      </c>
      <c r="V81" s="5">
        <v>44427</v>
      </c>
      <c r="W81" s="5">
        <v>44008</v>
      </c>
      <c r="X81" s="1">
        <v>12800000</v>
      </c>
      <c r="AB81" s="1" t="s">
        <v>44</v>
      </c>
      <c r="AF81" s="1">
        <v>10007</v>
      </c>
      <c r="AJ81" s="1">
        <v>2016</v>
      </c>
      <c r="AK81" s="1" t="s">
        <v>81</v>
      </c>
      <c r="AL81" s="1">
        <v>157</v>
      </c>
    </row>
    <row r="82" spans="1:38" x14ac:dyDescent="0.2">
      <c r="A82" s="2" t="str">
        <f>HYPERLINK("https://www.compass.com/listing/298-east-2nd-street-unit-6-manhattan-ny-10009/749027324011681593/","298 E 2nd St, Unit 6")</f>
        <v>298 E 2nd St, Unit 6</v>
      </c>
      <c r="B82" s="2" t="str">
        <f>HYPERLINK("https://www.compass.com/building/houston-house-manhattan-ny/281899376975034613/","Houston House")</f>
        <v>Houston House</v>
      </c>
      <c r="C82" s="1" t="s">
        <v>88</v>
      </c>
      <c r="D82" s="1" t="s">
        <v>41</v>
      </c>
      <c r="E82" s="3">
        <v>2495000</v>
      </c>
      <c r="F82" s="1">
        <v>1357.45375408052</v>
      </c>
      <c r="G82" s="1">
        <v>5</v>
      </c>
      <c r="H82" s="1">
        <v>3</v>
      </c>
      <c r="I82" s="1">
        <v>3</v>
      </c>
      <c r="J82" s="1">
        <v>3</v>
      </c>
      <c r="K82" s="1">
        <v>3</v>
      </c>
      <c r="M82" s="4">
        <v>1838</v>
      </c>
      <c r="N82" s="1">
        <v>1283</v>
      </c>
      <c r="O82" s="1">
        <v>4051</v>
      </c>
      <c r="P82" s="1">
        <v>2768</v>
      </c>
      <c r="Q82" s="1" t="s">
        <v>42</v>
      </c>
      <c r="S82" s="1" t="s">
        <v>42</v>
      </c>
      <c r="T82" s="1" t="s">
        <v>48</v>
      </c>
      <c r="U82" s="1">
        <v>141</v>
      </c>
      <c r="V82" s="5">
        <v>44424</v>
      </c>
      <c r="W82" s="5">
        <v>44286</v>
      </c>
      <c r="X82" s="1">
        <v>2495000</v>
      </c>
      <c r="AB82" s="1" t="s">
        <v>44</v>
      </c>
      <c r="AF82" s="1">
        <v>10009</v>
      </c>
      <c r="AI82" s="1" t="s">
        <v>100</v>
      </c>
      <c r="AJ82" s="1">
        <v>2020</v>
      </c>
      <c r="AL82" s="1">
        <v>7</v>
      </c>
    </row>
    <row r="83" spans="1:38" x14ac:dyDescent="0.2">
      <c r="A83" s="2" t="str">
        <f>HYPERLINK("https://www.compass.com/listing/200-east-21st-street-unit-2c-manhattan-ny-10010/799232425362927137/","200 E 21st St, Unit 2C")</f>
        <v>200 E 21st St, Unit 2C</v>
      </c>
      <c r="B83" s="2" t="str">
        <f>HYPERLINK("https://www.compass.com/building/200-east-21st-street-manhattan-ny/292796762689658005/","200 East 21st Street")</f>
        <v>200 East 21st Street</v>
      </c>
      <c r="C83" s="1" t="s">
        <v>101</v>
      </c>
      <c r="D83" s="1" t="s">
        <v>41</v>
      </c>
      <c r="E83" s="3">
        <v>1625000</v>
      </c>
      <c r="F83" s="1">
        <v>1846.5909090908999</v>
      </c>
      <c r="G83" s="1">
        <v>3</v>
      </c>
      <c r="H83" s="1">
        <v>1</v>
      </c>
      <c r="I83" s="1">
        <v>1</v>
      </c>
      <c r="J83" s="1">
        <v>1</v>
      </c>
      <c r="K83" s="1">
        <v>1</v>
      </c>
      <c r="M83" s="1">
        <v>880</v>
      </c>
      <c r="N83" s="1">
        <v>854</v>
      </c>
      <c r="O83" s="1">
        <v>1957</v>
      </c>
      <c r="P83" s="1">
        <v>1103</v>
      </c>
      <c r="Q83" s="1" t="s">
        <v>42</v>
      </c>
      <c r="S83" s="1" t="s">
        <v>42</v>
      </c>
      <c r="T83" s="1" t="s">
        <v>48</v>
      </c>
      <c r="U83" s="1">
        <v>73</v>
      </c>
      <c r="V83" s="5">
        <v>44427</v>
      </c>
      <c r="W83" s="5">
        <v>44354</v>
      </c>
      <c r="X83" s="1">
        <v>1625000</v>
      </c>
      <c r="AB83" s="1" t="s">
        <v>44</v>
      </c>
      <c r="AF83" s="1">
        <v>10010</v>
      </c>
      <c r="AI83" s="1" t="s">
        <v>102</v>
      </c>
      <c r="AJ83" s="1">
        <v>2018</v>
      </c>
      <c r="AK83" s="1" t="s">
        <v>59</v>
      </c>
      <c r="AL83" s="1">
        <v>67</v>
      </c>
    </row>
    <row r="84" spans="1:38" x14ac:dyDescent="0.2">
      <c r="A84" s="2" t="str">
        <f>HYPERLINK("https://www.compass.com/listing/30-park-place-unit-47e-manhattan-ny-10007/687950930850846593/","30 Park Pl, Unit 47E")</f>
        <v>30 Park Pl, Unit 47E</v>
      </c>
      <c r="B84" s="2" t="str">
        <f>HYPERLINK("https://www.compass.com/building/30-park-pl-manhattan-ny-10007/281896912905317605/","30 Park Pl")</f>
        <v>30 Park Pl</v>
      </c>
      <c r="C84" s="1" t="s">
        <v>40</v>
      </c>
      <c r="D84" s="1" t="s">
        <v>41</v>
      </c>
      <c r="E84" s="3">
        <v>5295000</v>
      </c>
      <c r="F84" s="1">
        <v>2951.5050167223999</v>
      </c>
      <c r="G84" s="1">
        <v>5</v>
      </c>
      <c r="H84" s="1">
        <v>3</v>
      </c>
      <c r="I84" s="1">
        <v>3</v>
      </c>
      <c r="J84" s="1">
        <v>2.5</v>
      </c>
      <c r="K84" s="1">
        <v>2</v>
      </c>
      <c r="L84" s="1">
        <v>1</v>
      </c>
      <c r="M84" s="4">
        <v>1794</v>
      </c>
      <c r="N84" s="1">
        <v>1569</v>
      </c>
      <c r="O84" s="1">
        <v>5462</v>
      </c>
      <c r="P84" s="1">
        <v>3893</v>
      </c>
      <c r="Q84" s="1" t="s">
        <v>42</v>
      </c>
      <c r="S84" s="1" t="s">
        <v>42</v>
      </c>
      <c r="T84" s="1" t="s">
        <v>48</v>
      </c>
      <c r="U84" s="1">
        <v>251</v>
      </c>
      <c r="V84" s="5">
        <v>44427</v>
      </c>
      <c r="W84" s="5">
        <v>44176</v>
      </c>
      <c r="X84" s="1">
        <v>5295000</v>
      </c>
      <c r="AB84" s="1" t="s">
        <v>44</v>
      </c>
      <c r="AF84" s="1">
        <v>10007</v>
      </c>
      <c r="AJ84" s="1">
        <v>2016</v>
      </c>
      <c r="AK84" s="1" t="s">
        <v>50</v>
      </c>
      <c r="AL84" s="1">
        <v>157</v>
      </c>
    </row>
    <row r="85" spans="1:38" x14ac:dyDescent="0.2">
      <c r="A85" s="2" t="str">
        <f>HYPERLINK("https://www.compass.com/listing/298-east-2nd-street-manhattan-ny-10009/612970269644098009/","298 E 2nd St")</f>
        <v>298 E 2nd St</v>
      </c>
      <c r="B85" s="2" t="str">
        <f>HYPERLINK("https://www.compass.com/building/houston-house-manhattan-ny/281899376975034613/","Houston House")</f>
        <v>Houston House</v>
      </c>
      <c r="C85" s="1" t="s">
        <v>88</v>
      </c>
      <c r="D85" s="1" t="s">
        <v>41</v>
      </c>
      <c r="E85" s="3">
        <v>3000000</v>
      </c>
      <c r="F85" s="1">
        <v>1244.2969722107</v>
      </c>
      <c r="G85" s="1">
        <v>7</v>
      </c>
      <c r="H85" s="1">
        <v>3</v>
      </c>
      <c r="I85" s="1">
        <v>3</v>
      </c>
      <c r="J85" s="1">
        <v>3.5</v>
      </c>
      <c r="K85" s="1">
        <v>3</v>
      </c>
      <c r="L85" s="1">
        <v>1</v>
      </c>
      <c r="M85" s="4">
        <v>2411</v>
      </c>
      <c r="N85" s="1">
        <v>1529</v>
      </c>
      <c r="O85" s="1">
        <v>4828</v>
      </c>
      <c r="P85" s="1">
        <v>3299</v>
      </c>
      <c r="Q85" s="1" t="s">
        <v>42</v>
      </c>
      <c r="S85" s="1" t="s">
        <v>42</v>
      </c>
      <c r="T85" s="1" t="s">
        <v>48</v>
      </c>
      <c r="U85" s="1">
        <v>261</v>
      </c>
      <c r="V85" s="5">
        <v>44424</v>
      </c>
      <c r="W85" s="5">
        <v>44096</v>
      </c>
      <c r="X85" s="1">
        <v>3000000</v>
      </c>
      <c r="AB85" s="1" t="s">
        <v>44</v>
      </c>
      <c r="AF85" s="1">
        <v>10009</v>
      </c>
      <c r="AI85" s="1" t="s">
        <v>103</v>
      </c>
      <c r="AJ85" s="1">
        <v>2020</v>
      </c>
      <c r="AL85" s="1">
        <v>7</v>
      </c>
    </row>
    <row r="86" spans="1:38" x14ac:dyDescent="0.2">
      <c r="A86" s="2" t="str">
        <f>HYPERLINK("https://www.compass.com/listing/200-amsterdam-avenue-unit-8b-manhattan-ny-10023/834840655510817865/","200 Amsterdam Ave, Unit 8B")</f>
        <v>200 Amsterdam Ave, Unit 8B</v>
      </c>
      <c r="B86" s="2" t="str">
        <f>HYPERLINK("https://www.compass.com/building/200-amsterdam-manhattan-ny/344157234608153717/","200 Amsterdam")</f>
        <v>200 Amsterdam</v>
      </c>
      <c r="C86" s="1" t="s">
        <v>47</v>
      </c>
      <c r="D86" s="1" t="s">
        <v>41</v>
      </c>
      <c r="E86" s="3">
        <v>3750000</v>
      </c>
      <c r="F86" s="1">
        <v>2069.5364238410598</v>
      </c>
      <c r="G86" s="1">
        <v>4</v>
      </c>
      <c r="H86" s="1">
        <v>2</v>
      </c>
      <c r="I86" s="1">
        <v>3</v>
      </c>
      <c r="J86" s="1">
        <v>2.5</v>
      </c>
      <c r="K86" s="1">
        <v>2</v>
      </c>
      <c r="L86" s="1">
        <v>1</v>
      </c>
      <c r="M86" s="4">
        <v>1812</v>
      </c>
      <c r="N86" s="1">
        <v>1814</v>
      </c>
      <c r="O86" s="1">
        <v>4667</v>
      </c>
      <c r="P86" s="1">
        <v>2853</v>
      </c>
      <c r="Q86" s="1" t="s">
        <v>42</v>
      </c>
      <c r="S86" s="1" t="s">
        <v>42</v>
      </c>
      <c r="T86" s="1" t="s">
        <v>48</v>
      </c>
      <c r="U86" s="1">
        <v>24</v>
      </c>
      <c r="V86" s="5">
        <v>44404</v>
      </c>
      <c r="W86" s="5">
        <v>44403</v>
      </c>
      <c r="X86" s="1">
        <v>3750000</v>
      </c>
      <c r="AB86" s="1" t="s">
        <v>44</v>
      </c>
      <c r="AF86" s="1">
        <v>10023</v>
      </c>
      <c r="AI86" s="1" t="s">
        <v>58</v>
      </c>
      <c r="AJ86" s="1">
        <v>2021</v>
      </c>
      <c r="AK86" s="1" t="s">
        <v>81</v>
      </c>
      <c r="AL86" s="1">
        <v>112</v>
      </c>
    </row>
    <row r="87" spans="1:38" x14ac:dyDescent="0.2">
      <c r="A87" s="2" t="str">
        <f>HYPERLINK("https://www.compass.com/listing/32-east-1st-street-unit-phc-manhattan-ny-10003/816880110717516473/","32 E 1st St, Unit PHC")</f>
        <v>32 E 1st St, Unit PHC</v>
      </c>
      <c r="B87" s="2" t="str">
        <f>HYPERLINK("https://www.compass.com/building/32-east-1st-street-manhattan-ny/292783157810310133/","32 East 1st Street")</f>
        <v>32 East 1st Street</v>
      </c>
      <c r="C87" s="1" t="s">
        <v>88</v>
      </c>
      <c r="D87" s="1" t="s">
        <v>41</v>
      </c>
      <c r="E87" s="3">
        <v>9990000</v>
      </c>
      <c r="F87" s="1">
        <v>3460.3394527190799</v>
      </c>
      <c r="G87" s="1">
        <v>8.5</v>
      </c>
      <c r="H87" s="1">
        <v>3</v>
      </c>
      <c r="I87" s="1">
        <v>4</v>
      </c>
      <c r="J87" s="1">
        <v>3.5</v>
      </c>
      <c r="K87" s="1">
        <v>3</v>
      </c>
      <c r="L87" s="1">
        <v>1</v>
      </c>
      <c r="M87" s="4">
        <v>2887</v>
      </c>
      <c r="N87" s="1">
        <v>4697</v>
      </c>
      <c r="O87" s="1">
        <v>11814</v>
      </c>
      <c r="P87" s="1">
        <v>7117</v>
      </c>
      <c r="Q87" s="1" t="s">
        <v>42</v>
      </c>
      <c r="S87" s="1" t="s">
        <v>42</v>
      </c>
      <c r="T87" s="1" t="s">
        <v>48</v>
      </c>
      <c r="U87" s="1">
        <v>49</v>
      </c>
      <c r="V87" s="5">
        <v>44427</v>
      </c>
      <c r="W87" s="5">
        <v>44378</v>
      </c>
      <c r="X87" s="1">
        <v>9995000</v>
      </c>
      <c r="AB87" s="1" t="s">
        <v>44</v>
      </c>
      <c r="AF87" s="1">
        <v>10003</v>
      </c>
      <c r="AI87" s="1" t="s">
        <v>104</v>
      </c>
      <c r="AJ87" s="1">
        <v>2019</v>
      </c>
      <c r="AK87" s="1" t="s">
        <v>87</v>
      </c>
      <c r="AL87" s="1">
        <v>30</v>
      </c>
    </row>
    <row r="88" spans="1:38" x14ac:dyDescent="0.2">
      <c r="A88" s="2" t="str">
        <f>HYPERLINK("https://www.compass.com/listing/175-west-95th-street-unit-18j-manhattan-ny-10025/632483984269586465/","175 W 95th St, Unit 18J")</f>
        <v>175 W 95th St, Unit 18J</v>
      </c>
      <c r="B88" s="2" t="str">
        <f>HYPERLINK("https://www.compass.com/building/175-w-95th-manhattan-ny/292876785429866517/","175 W 95th")</f>
        <v>175 W 95th</v>
      </c>
      <c r="C88" s="1" t="s">
        <v>47</v>
      </c>
      <c r="D88" s="1" t="s">
        <v>41</v>
      </c>
      <c r="E88" s="3">
        <v>799000</v>
      </c>
      <c r="F88" s="1">
        <v>1560.546875</v>
      </c>
      <c r="G88" s="1">
        <v>4</v>
      </c>
      <c r="H88" s="1">
        <v>1</v>
      </c>
      <c r="I88" s="1">
        <v>1</v>
      </c>
      <c r="J88" s="1">
        <v>1</v>
      </c>
      <c r="K88" s="1">
        <v>1</v>
      </c>
      <c r="M88" s="1">
        <v>512</v>
      </c>
      <c r="N88" s="1">
        <v>545</v>
      </c>
      <c r="O88" s="1">
        <v>978</v>
      </c>
      <c r="P88" s="1">
        <v>433</v>
      </c>
      <c r="Q88" s="1" t="s">
        <v>42</v>
      </c>
      <c r="S88" s="1" t="s">
        <v>42</v>
      </c>
      <c r="T88" s="1" t="s">
        <v>48</v>
      </c>
      <c r="U88" s="1">
        <v>302</v>
      </c>
      <c r="V88" s="5">
        <v>44321</v>
      </c>
      <c r="W88" s="5">
        <v>44124</v>
      </c>
      <c r="X88" s="1">
        <v>875000</v>
      </c>
      <c r="AB88" s="1" t="s">
        <v>44</v>
      </c>
      <c r="AF88" s="1">
        <v>10025</v>
      </c>
      <c r="AI88" s="1" t="s">
        <v>52</v>
      </c>
      <c r="AJ88" s="1">
        <v>1971</v>
      </c>
      <c r="AK88" s="1" t="s">
        <v>81</v>
      </c>
      <c r="AL88" s="1">
        <v>226</v>
      </c>
    </row>
    <row r="89" spans="1:38" x14ac:dyDescent="0.2">
      <c r="A89" s="2" t="str">
        <f>HYPERLINK("https://www.compass.com/listing/455-west-19th-street-unit-garden-manhattan-ny-10011/736265935852338929/","455 W 19th St, Unit GARDEN")</f>
        <v>455 W 19th St, Unit GARDEN</v>
      </c>
      <c r="B89" s="2" t="str">
        <f>HYPERLINK("https://www.compass.com/building/abi-chelsea-manhattan-ny/281910792461248565/","Abi Chelsea")</f>
        <v>Abi Chelsea</v>
      </c>
      <c r="C89" s="1" t="s">
        <v>62</v>
      </c>
      <c r="D89" s="1" t="s">
        <v>41</v>
      </c>
      <c r="E89" s="3">
        <v>9995000</v>
      </c>
      <c r="F89" s="1">
        <v>3634.54545454545</v>
      </c>
      <c r="G89" s="1">
        <v>6</v>
      </c>
      <c r="H89" s="1">
        <v>3</v>
      </c>
      <c r="I89" s="1">
        <v>4</v>
      </c>
      <c r="J89" s="1">
        <v>3.5</v>
      </c>
      <c r="K89" s="1">
        <v>3</v>
      </c>
      <c r="L89" s="1">
        <v>1</v>
      </c>
      <c r="M89" s="4">
        <v>2750</v>
      </c>
      <c r="N89" s="1">
        <v>5862</v>
      </c>
      <c r="O89" s="1">
        <v>9551</v>
      </c>
      <c r="P89" s="1">
        <v>3689</v>
      </c>
      <c r="Q89" s="1" t="s">
        <v>42</v>
      </c>
      <c r="S89" s="1" t="s">
        <v>42</v>
      </c>
      <c r="T89" s="1" t="s">
        <v>48</v>
      </c>
      <c r="U89" s="1">
        <v>156</v>
      </c>
      <c r="V89" s="5">
        <v>44427</v>
      </c>
      <c r="W89" s="5">
        <v>44271</v>
      </c>
      <c r="X89" s="1">
        <v>12300000</v>
      </c>
      <c r="AB89" s="1" t="s">
        <v>44</v>
      </c>
      <c r="AF89" s="1">
        <v>10011</v>
      </c>
      <c r="AI89" s="1" t="s">
        <v>105</v>
      </c>
      <c r="AJ89" s="1">
        <v>2019</v>
      </c>
      <c r="AK89" s="1" t="s">
        <v>50</v>
      </c>
      <c r="AL89" s="1">
        <v>11</v>
      </c>
    </row>
    <row r="90" spans="1:38" x14ac:dyDescent="0.2">
      <c r="A90" s="2" t="str">
        <f>HYPERLINK("https://www.compass.com/listing/150-east-23rd-street-unit-6c-manhattan-ny-10010/449244185374188337/","150 E 23rd St, Unit 6C")</f>
        <v>150 E 23rd St, Unit 6C</v>
      </c>
      <c r="B90" s="2" t="str">
        <f>HYPERLINK("https://www.compass.com/building/celeste-gramercy-manhattan-ny/292795972759607813/","Celeste Gramercy")</f>
        <v>Celeste Gramercy</v>
      </c>
      <c r="C90" s="1" t="s">
        <v>101</v>
      </c>
      <c r="D90" s="1" t="s">
        <v>41</v>
      </c>
      <c r="E90" s="3">
        <v>2405000</v>
      </c>
      <c r="F90" s="1">
        <v>1772.29182019159</v>
      </c>
      <c r="G90" s="1">
        <v>3</v>
      </c>
      <c r="H90" s="1">
        <v>2</v>
      </c>
      <c r="I90" s="1">
        <v>2</v>
      </c>
      <c r="J90" s="1">
        <v>2</v>
      </c>
      <c r="K90" s="1">
        <v>2</v>
      </c>
      <c r="M90" s="4">
        <v>1357</v>
      </c>
      <c r="N90" s="1">
        <v>1814</v>
      </c>
      <c r="O90" s="1">
        <v>3514</v>
      </c>
      <c r="P90" s="1">
        <v>1700</v>
      </c>
      <c r="Q90" s="1" t="s">
        <v>42</v>
      </c>
      <c r="S90" s="1" t="s">
        <v>42</v>
      </c>
      <c r="T90" s="1" t="s">
        <v>48</v>
      </c>
      <c r="U90" s="1">
        <v>463</v>
      </c>
      <c r="V90" s="5">
        <v>44424</v>
      </c>
      <c r="W90" s="5">
        <v>43870</v>
      </c>
      <c r="X90" s="1">
        <v>2405000</v>
      </c>
      <c r="AB90" s="1" t="s">
        <v>44</v>
      </c>
      <c r="AF90" s="1">
        <v>10010</v>
      </c>
      <c r="AI90" s="1" t="s">
        <v>45</v>
      </c>
      <c r="AJ90" s="1">
        <v>2018</v>
      </c>
      <c r="AK90" s="1" t="s">
        <v>50</v>
      </c>
      <c r="AL90" s="1">
        <v>51</v>
      </c>
    </row>
    <row r="91" spans="1:38" x14ac:dyDescent="0.2">
      <c r="A91" s="2" t="str">
        <f>HYPERLINK("https://www.compass.com/listing/32-east-1st-street-unit-2d-manhattan-ny-10003/810912647688887001/","32 E 1st St, Unit 2D")</f>
        <v>32 E 1st St, Unit 2D</v>
      </c>
      <c r="B91" s="2" t="str">
        <f>HYPERLINK("https://www.compass.com/building/32-east-1st-street-manhattan-ny/292783157810310133/","32 East 1st Street")</f>
        <v>32 East 1st Street</v>
      </c>
      <c r="C91" s="1" t="s">
        <v>88</v>
      </c>
      <c r="D91" s="1" t="s">
        <v>41</v>
      </c>
      <c r="E91" s="3">
        <v>2500000</v>
      </c>
      <c r="F91" s="1">
        <v>2308.40258541089</v>
      </c>
      <c r="G91" s="1">
        <v>4</v>
      </c>
      <c r="H91" s="1">
        <v>2</v>
      </c>
      <c r="I91" s="1">
        <v>2</v>
      </c>
      <c r="J91" s="1">
        <v>2</v>
      </c>
      <c r="K91" s="1">
        <v>2</v>
      </c>
      <c r="M91" s="4">
        <v>1083</v>
      </c>
      <c r="N91" s="1">
        <v>1272</v>
      </c>
      <c r="O91" s="1">
        <v>3201</v>
      </c>
      <c r="P91" s="1">
        <v>1929</v>
      </c>
      <c r="Q91" s="1" t="s">
        <v>42</v>
      </c>
      <c r="S91" s="1" t="s">
        <v>42</v>
      </c>
      <c r="T91" s="1" t="s">
        <v>48</v>
      </c>
      <c r="U91" s="1">
        <v>57</v>
      </c>
      <c r="V91" s="5">
        <v>44427</v>
      </c>
      <c r="W91" s="5">
        <v>44370</v>
      </c>
      <c r="X91" s="1">
        <v>2500000</v>
      </c>
      <c r="AB91" s="1" t="s">
        <v>44</v>
      </c>
      <c r="AF91" s="1">
        <v>10003</v>
      </c>
      <c r="AI91" s="1" t="s">
        <v>45</v>
      </c>
      <c r="AJ91" s="1">
        <v>2019</v>
      </c>
      <c r="AK91" s="1" t="s">
        <v>55</v>
      </c>
      <c r="AL91" s="1">
        <v>30</v>
      </c>
    </row>
    <row r="92" spans="1:38" x14ac:dyDescent="0.2">
      <c r="A92" s="2" t="str">
        <f>HYPERLINK("https://www.compass.com/listing/225-west-86th-street-unit-114-manhattan-ny-10024/812376192466407969/","225 W 86th St, Unit 114")</f>
        <v>225 W 86th St, Unit 114</v>
      </c>
      <c r="B92" s="2" t="str">
        <f>HYPERLINK("https://www.compass.com/building/the-belnord-manhattan-ny/292869672083214101/","The Belnord")</f>
        <v>The Belnord</v>
      </c>
      <c r="C92" s="1" t="s">
        <v>47</v>
      </c>
      <c r="D92" s="1" t="s">
        <v>41</v>
      </c>
      <c r="E92" s="3">
        <v>4895000</v>
      </c>
      <c r="F92" s="1">
        <v>2183.31846565566</v>
      </c>
      <c r="G92" s="1">
        <v>5.5</v>
      </c>
      <c r="H92" s="1">
        <v>3</v>
      </c>
      <c r="I92" s="1">
        <v>4</v>
      </c>
      <c r="J92" s="1">
        <v>3.5</v>
      </c>
      <c r="K92" s="1">
        <v>3</v>
      </c>
      <c r="L92" s="1">
        <v>1</v>
      </c>
      <c r="M92" s="4">
        <v>2242</v>
      </c>
      <c r="N92" s="1">
        <v>2304</v>
      </c>
      <c r="O92" s="1">
        <v>6098</v>
      </c>
      <c r="P92" s="1">
        <v>3794</v>
      </c>
      <c r="Q92" s="1" t="s">
        <v>42</v>
      </c>
      <c r="S92" s="1" t="s">
        <v>42</v>
      </c>
      <c r="T92" s="1" t="s">
        <v>48</v>
      </c>
      <c r="U92" s="1">
        <v>55</v>
      </c>
      <c r="V92" s="5">
        <v>44413</v>
      </c>
      <c r="W92" s="5">
        <v>44372</v>
      </c>
      <c r="X92" s="1">
        <v>4995000</v>
      </c>
      <c r="AB92" s="1" t="s">
        <v>44</v>
      </c>
      <c r="AF92" s="1">
        <v>10024</v>
      </c>
      <c r="AI92" s="1" t="s">
        <v>67</v>
      </c>
      <c r="AJ92" s="1">
        <v>1908</v>
      </c>
      <c r="AK92" s="1" t="s">
        <v>81</v>
      </c>
      <c r="AL92" s="1">
        <v>213</v>
      </c>
    </row>
    <row r="93" spans="1:38" x14ac:dyDescent="0.2">
      <c r="A93" s="2" t="str">
        <f>HYPERLINK("https://www.compass.com/listing/150-east-23rd-street-unit-2a-manhattan-ny-10010/122395327201316865/","150 E 23rd St, Unit 2A")</f>
        <v>150 E 23rd St, Unit 2A</v>
      </c>
      <c r="B93" s="2" t="str">
        <f t="shared" ref="B93:B94" si="12">HYPERLINK("https://www.compass.com/building/celeste-gramercy-manhattan-ny/292795972759607813/","Celeste Gramercy")</f>
        <v>Celeste Gramercy</v>
      </c>
      <c r="C93" s="1" t="s">
        <v>101</v>
      </c>
      <c r="D93" s="1" t="s">
        <v>41</v>
      </c>
      <c r="E93" s="3">
        <v>2425000</v>
      </c>
      <c r="F93" s="1">
        <v>1807.0044709388901</v>
      </c>
      <c r="G93" s="1">
        <v>4.5</v>
      </c>
      <c r="H93" s="1">
        <v>2</v>
      </c>
      <c r="I93" s="1">
        <v>3</v>
      </c>
      <c r="J93" s="1">
        <v>2.5</v>
      </c>
      <c r="K93" s="1">
        <v>2</v>
      </c>
      <c r="L93" s="1">
        <v>1</v>
      </c>
      <c r="M93" s="4">
        <v>1342</v>
      </c>
      <c r="N93" s="1">
        <v>1753</v>
      </c>
      <c r="O93" s="1">
        <v>3395</v>
      </c>
      <c r="P93" s="1">
        <v>1642</v>
      </c>
      <c r="Q93" s="1" t="s">
        <v>42</v>
      </c>
      <c r="S93" s="1" t="s">
        <v>42</v>
      </c>
      <c r="T93" s="1" t="s">
        <v>48</v>
      </c>
      <c r="U93" s="1">
        <v>913</v>
      </c>
      <c r="V93" s="5">
        <v>44424</v>
      </c>
      <c r="W93" s="5">
        <v>43420</v>
      </c>
      <c r="X93" s="1">
        <v>2200000</v>
      </c>
      <c r="AB93" s="1" t="s">
        <v>44</v>
      </c>
      <c r="AF93" s="1">
        <v>10010</v>
      </c>
      <c r="AI93" s="1" t="s">
        <v>45</v>
      </c>
      <c r="AJ93" s="1">
        <v>2018</v>
      </c>
      <c r="AK93" s="1" t="s">
        <v>81</v>
      </c>
      <c r="AL93" s="1">
        <v>51</v>
      </c>
    </row>
    <row r="94" spans="1:38" x14ac:dyDescent="0.2">
      <c r="A94" s="2" t="str">
        <f>HYPERLINK("https://www.compass.com/listing/150-east-23rd-street-unit-11a-manhattan-ny-10010/239022097735732433/","150 E 23rd St, Unit 11A")</f>
        <v>150 E 23rd St, Unit 11A</v>
      </c>
      <c r="B94" s="2" t="str">
        <f t="shared" si="12"/>
        <v>Celeste Gramercy</v>
      </c>
      <c r="C94" s="1" t="s">
        <v>101</v>
      </c>
      <c r="D94" s="1" t="s">
        <v>41</v>
      </c>
      <c r="E94" s="3">
        <v>2575000</v>
      </c>
      <c r="F94" s="1">
        <v>1950.7575757575701</v>
      </c>
      <c r="G94" s="1">
        <v>4</v>
      </c>
      <c r="H94" s="1">
        <v>2</v>
      </c>
      <c r="I94" s="1">
        <v>3</v>
      </c>
      <c r="J94" s="1">
        <v>2.5</v>
      </c>
      <c r="K94" s="1">
        <v>2</v>
      </c>
      <c r="L94" s="1">
        <v>1</v>
      </c>
      <c r="M94" s="4">
        <v>1320</v>
      </c>
      <c r="N94" s="1">
        <v>1790</v>
      </c>
      <c r="O94" s="1">
        <v>3468</v>
      </c>
      <c r="P94" s="1">
        <v>1678</v>
      </c>
      <c r="Q94" s="1" t="s">
        <v>42</v>
      </c>
      <c r="S94" s="1" t="s">
        <v>42</v>
      </c>
      <c r="T94" s="1" t="s">
        <v>48</v>
      </c>
      <c r="U94" s="1">
        <v>752</v>
      </c>
      <c r="V94" s="5">
        <v>44424</v>
      </c>
      <c r="W94" s="5">
        <v>43581</v>
      </c>
      <c r="X94" s="1">
        <v>2250000</v>
      </c>
      <c r="AB94" s="1" t="s">
        <v>44</v>
      </c>
      <c r="AF94" s="1">
        <v>10010</v>
      </c>
      <c r="AI94" s="1" t="s">
        <v>45</v>
      </c>
      <c r="AJ94" s="1">
        <v>2018</v>
      </c>
      <c r="AK94" s="1" t="s">
        <v>50</v>
      </c>
      <c r="AL94" s="1">
        <v>51</v>
      </c>
    </row>
    <row r="95" spans="1:38" x14ac:dyDescent="0.2">
      <c r="A95" s="2" t="str">
        <f>HYPERLINK("https://www.compass.com/listing/175-west-95th-street-unit-3h-manhattan-ny-10025/730728485583215425/","175 W 95th St, Unit 3H")</f>
        <v>175 W 95th St, Unit 3H</v>
      </c>
      <c r="B95" s="2" t="str">
        <f>HYPERLINK("https://www.compass.com/building/175-w-95th-manhattan-ny/292876785429866517/","175 W 95th")</f>
        <v>175 W 95th</v>
      </c>
      <c r="C95" s="1" t="s">
        <v>47</v>
      </c>
      <c r="D95" s="1" t="s">
        <v>41</v>
      </c>
      <c r="E95" s="3">
        <v>679000</v>
      </c>
      <c r="F95" s="1">
        <v>1347.2222222222199</v>
      </c>
      <c r="G95" s="1">
        <v>2.5</v>
      </c>
      <c r="H95" s="1">
        <v>1</v>
      </c>
      <c r="I95" s="1">
        <v>1</v>
      </c>
      <c r="J95" s="1">
        <v>1</v>
      </c>
      <c r="K95" s="1">
        <v>1</v>
      </c>
      <c r="M95" s="1">
        <v>504</v>
      </c>
      <c r="N95" s="1">
        <v>502</v>
      </c>
      <c r="O95" s="1">
        <v>966</v>
      </c>
      <c r="P95" s="1">
        <v>464</v>
      </c>
      <c r="Q95" s="1" t="s">
        <v>42</v>
      </c>
      <c r="S95" s="1" t="s">
        <v>42</v>
      </c>
      <c r="T95" s="1" t="s">
        <v>48</v>
      </c>
      <c r="U95" s="1">
        <v>167</v>
      </c>
      <c r="V95" s="5">
        <v>44426</v>
      </c>
      <c r="W95" s="5">
        <v>44260</v>
      </c>
      <c r="X95" s="1">
        <v>759000</v>
      </c>
      <c r="AB95" s="1" t="s">
        <v>44</v>
      </c>
      <c r="AF95" s="1">
        <v>10025</v>
      </c>
      <c r="AI95" s="1" t="s">
        <v>52</v>
      </c>
      <c r="AJ95" s="1">
        <v>1971</v>
      </c>
      <c r="AK95" s="1" t="s">
        <v>81</v>
      </c>
      <c r="AL95" s="1">
        <v>226</v>
      </c>
    </row>
    <row r="96" spans="1:38" x14ac:dyDescent="0.2">
      <c r="A96" s="2" t="str">
        <f>HYPERLINK("https://www.compass.com/listing/455-west-19th-street-unit-ph-manhattan-ny-10011/740179622511096633/","455 W 19th St, Unit PH")</f>
        <v>455 W 19th St, Unit PH</v>
      </c>
      <c r="B96" s="2" t="str">
        <f t="shared" ref="B96:B97" si="13">HYPERLINK("https://www.compass.com/building/abi-chelsea-manhattan-ny/281910792461248565/","Abi Chelsea")</f>
        <v>Abi Chelsea</v>
      </c>
      <c r="C96" s="1" t="s">
        <v>62</v>
      </c>
      <c r="D96" s="1" t="s">
        <v>41</v>
      </c>
      <c r="E96" s="3">
        <v>22750000</v>
      </c>
      <c r="F96" s="1">
        <v>5996.3099630996303</v>
      </c>
      <c r="G96" s="1">
        <v>10</v>
      </c>
      <c r="H96" s="1">
        <v>4</v>
      </c>
      <c r="I96" s="1">
        <v>4</v>
      </c>
      <c r="J96" s="1">
        <v>3.5</v>
      </c>
      <c r="K96" s="1">
        <v>3</v>
      </c>
      <c r="L96" s="1">
        <v>1</v>
      </c>
      <c r="M96" s="4">
        <v>3794</v>
      </c>
      <c r="N96" s="1">
        <v>8233</v>
      </c>
      <c r="O96" s="1">
        <v>13413</v>
      </c>
      <c r="P96" s="1">
        <v>5180</v>
      </c>
      <c r="Q96" s="1" t="s">
        <v>42</v>
      </c>
      <c r="S96" s="1" t="s">
        <v>42</v>
      </c>
      <c r="T96" s="1" t="s">
        <v>48</v>
      </c>
      <c r="U96" s="1">
        <v>156</v>
      </c>
      <c r="V96" s="5">
        <v>44427</v>
      </c>
      <c r="W96" s="5">
        <v>44271</v>
      </c>
      <c r="X96" s="1">
        <v>22750000</v>
      </c>
      <c r="AB96" s="1" t="s">
        <v>44</v>
      </c>
      <c r="AF96" s="1">
        <v>10011</v>
      </c>
      <c r="AI96" s="1" t="s">
        <v>106</v>
      </c>
      <c r="AJ96" s="1">
        <v>2019</v>
      </c>
      <c r="AK96" s="1" t="s">
        <v>50</v>
      </c>
      <c r="AL96" s="1">
        <v>11</v>
      </c>
    </row>
    <row r="97" spans="1:38" x14ac:dyDescent="0.2">
      <c r="A97" s="2" t="str">
        <f>HYPERLINK("https://www.compass.com/listing/455-west-19th-street-unit-penthouse2-manhattan-ny-10011/736254504583769681/","455 W 19th St, Unit PENTHOUSE2")</f>
        <v>455 W 19th St, Unit PENTHOUSE2</v>
      </c>
      <c r="B97" s="2" t="str">
        <f t="shared" si="13"/>
        <v>Abi Chelsea</v>
      </c>
      <c r="C97" s="1" t="s">
        <v>62</v>
      </c>
      <c r="D97" s="1" t="s">
        <v>41</v>
      </c>
      <c r="E97" s="3">
        <v>17100000</v>
      </c>
      <c r="F97" s="1">
        <v>4922.2797927461097</v>
      </c>
      <c r="G97" s="1">
        <v>9</v>
      </c>
      <c r="H97" s="1">
        <v>4</v>
      </c>
      <c r="I97" s="1">
        <v>4</v>
      </c>
      <c r="J97" s="1">
        <v>3.5</v>
      </c>
      <c r="K97" s="1">
        <v>3</v>
      </c>
      <c r="L97" s="1">
        <v>1</v>
      </c>
      <c r="M97" s="4">
        <v>3474</v>
      </c>
      <c r="N97" s="1">
        <v>7162</v>
      </c>
      <c r="O97" s="1">
        <v>11669</v>
      </c>
      <c r="P97" s="1">
        <v>4507</v>
      </c>
      <c r="Q97" s="1" t="s">
        <v>42</v>
      </c>
      <c r="S97" s="1" t="s">
        <v>42</v>
      </c>
      <c r="T97" s="1" t="s">
        <v>48</v>
      </c>
      <c r="U97" s="1">
        <v>156</v>
      </c>
      <c r="V97" s="5">
        <v>44427</v>
      </c>
      <c r="W97" s="5">
        <v>44271</v>
      </c>
      <c r="X97" s="1">
        <v>17100000</v>
      </c>
      <c r="AB97" s="1" t="s">
        <v>44</v>
      </c>
      <c r="AF97" s="1">
        <v>10011</v>
      </c>
      <c r="AI97" s="1" t="s">
        <v>107</v>
      </c>
      <c r="AJ97" s="1">
        <v>2019</v>
      </c>
      <c r="AK97" s="1" t="s">
        <v>50</v>
      </c>
      <c r="AL97" s="1">
        <v>11</v>
      </c>
    </row>
    <row r="98" spans="1:38" x14ac:dyDescent="0.2">
      <c r="A98" s="2" t="str">
        <f>HYPERLINK("https://www.compass.com/listing/150-east-23rd-street-unit-3c-manhattan-ny-10010/122395330447797041/","150 E 23rd St, Unit 3C")</f>
        <v>150 E 23rd St, Unit 3C</v>
      </c>
      <c r="B98" s="2" t="str">
        <f t="shared" ref="B98:B99" si="14">HYPERLINK("https://www.compass.com/building/celeste-gramercy-manhattan-ny/292795972759607813/","Celeste Gramercy")</f>
        <v>Celeste Gramercy</v>
      </c>
      <c r="C98" s="1" t="s">
        <v>101</v>
      </c>
      <c r="D98" s="1" t="s">
        <v>41</v>
      </c>
      <c r="E98" s="3">
        <v>2975000</v>
      </c>
      <c r="F98" s="1">
        <v>1837.55404570722</v>
      </c>
      <c r="G98" s="1">
        <v>6</v>
      </c>
      <c r="H98" s="1">
        <v>3</v>
      </c>
      <c r="I98" s="1">
        <v>3</v>
      </c>
      <c r="J98" s="1">
        <v>3</v>
      </c>
      <c r="K98" s="1">
        <v>3</v>
      </c>
      <c r="M98" s="4">
        <v>1619</v>
      </c>
      <c r="N98" s="1">
        <v>2189</v>
      </c>
      <c r="O98" s="1">
        <v>4240</v>
      </c>
      <c r="P98" s="1">
        <v>2051</v>
      </c>
      <c r="Q98" s="1" t="s">
        <v>42</v>
      </c>
      <c r="S98" s="1" t="s">
        <v>42</v>
      </c>
      <c r="T98" s="1" t="s">
        <v>48</v>
      </c>
      <c r="U98" s="1">
        <v>913</v>
      </c>
      <c r="V98" s="5">
        <v>44424</v>
      </c>
      <c r="W98" s="5">
        <v>43420</v>
      </c>
      <c r="X98" s="1">
        <v>2975000</v>
      </c>
      <c r="AB98" s="1" t="s">
        <v>44</v>
      </c>
      <c r="AF98" s="1">
        <v>10010</v>
      </c>
      <c r="AI98" s="1" t="s">
        <v>108</v>
      </c>
      <c r="AJ98" s="1">
        <v>2018</v>
      </c>
      <c r="AK98" s="1" t="s">
        <v>50</v>
      </c>
      <c r="AL98" s="1">
        <v>51</v>
      </c>
    </row>
    <row r="99" spans="1:38" x14ac:dyDescent="0.2">
      <c r="A99" s="2" t="str">
        <f>HYPERLINK("https://www.compass.com/listing/150-east-23rd-street-unit-12b-manhattan-ny-10010/756266008876429777/","150 E 23rd St, Unit 12B")</f>
        <v>150 E 23rd St, Unit 12B</v>
      </c>
      <c r="B99" s="2" t="str">
        <f t="shared" si="14"/>
        <v>Celeste Gramercy</v>
      </c>
      <c r="C99" s="1" t="s">
        <v>101</v>
      </c>
      <c r="D99" s="1" t="s">
        <v>41</v>
      </c>
      <c r="E99" s="3">
        <v>3175000</v>
      </c>
      <c r="F99" s="1">
        <v>2102.6490066225101</v>
      </c>
      <c r="G99" s="1">
        <v>5</v>
      </c>
      <c r="H99" s="1">
        <v>3</v>
      </c>
      <c r="I99" s="1">
        <v>3</v>
      </c>
      <c r="J99" s="1">
        <v>3</v>
      </c>
      <c r="K99" s="1">
        <v>3</v>
      </c>
      <c r="M99" s="4">
        <v>1510</v>
      </c>
      <c r="N99" s="1">
        <v>2135</v>
      </c>
      <c r="O99" s="1">
        <v>4135</v>
      </c>
      <c r="P99" s="1">
        <v>2000</v>
      </c>
      <c r="Q99" s="1" t="s">
        <v>42</v>
      </c>
      <c r="S99" s="1" t="s">
        <v>42</v>
      </c>
      <c r="T99" s="1" t="s">
        <v>48</v>
      </c>
      <c r="U99" s="1">
        <v>131</v>
      </c>
      <c r="V99" s="5">
        <v>44424</v>
      </c>
      <c r="W99" s="5">
        <v>44296</v>
      </c>
      <c r="X99" s="1">
        <v>3175000</v>
      </c>
      <c r="AB99" s="1" t="s">
        <v>44</v>
      </c>
      <c r="AF99" s="1">
        <v>10010</v>
      </c>
      <c r="AI99" s="1" t="s">
        <v>45</v>
      </c>
      <c r="AJ99" s="1">
        <v>2018</v>
      </c>
      <c r="AK99" s="1" t="s">
        <v>50</v>
      </c>
      <c r="AL99" s="1">
        <v>51</v>
      </c>
    </row>
    <row r="100" spans="1:38" x14ac:dyDescent="0.2">
      <c r="A100" s="2" t="str">
        <f>HYPERLINK("https://www.compass.com/listing/50-west-30th-street-unit-22a-manhattan-ny-10001/835099330980651585/","50 W 30th St, Unit 22A")</f>
        <v>50 W 30th St, Unit 22A</v>
      </c>
      <c r="B100" s="2" t="str">
        <f>HYPERLINK("https://www.compass.com/building/the-noma-manhattan-ny/282058879016139621/","The NOMA")</f>
        <v>The NOMA</v>
      </c>
      <c r="C100" s="1" t="s">
        <v>95</v>
      </c>
      <c r="D100" s="1" t="s">
        <v>41</v>
      </c>
      <c r="E100" s="3">
        <v>2850000</v>
      </c>
      <c r="F100" s="1">
        <v>2142.8571428571399</v>
      </c>
      <c r="G100" s="1">
        <v>4.5</v>
      </c>
      <c r="H100" s="1">
        <v>2</v>
      </c>
      <c r="I100" s="1">
        <v>2</v>
      </c>
      <c r="J100" s="1">
        <v>2</v>
      </c>
      <c r="K100" s="1">
        <v>2</v>
      </c>
      <c r="M100" s="4">
        <v>1330</v>
      </c>
      <c r="N100" s="1">
        <v>1626</v>
      </c>
      <c r="O100" s="1">
        <v>4182</v>
      </c>
      <c r="P100" s="1">
        <v>2556</v>
      </c>
      <c r="Q100" s="1" t="s">
        <v>42</v>
      </c>
      <c r="S100" s="1" t="s">
        <v>42</v>
      </c>
      <c r="T100" s="1" t="s">
        <v>48</v>
      </c>
      <c r="U100" s="1">
        <v>24</v>
      </c>
      <c r="V100" s="5">
        <v>44419</v>
      </c>
      <c r="W100" s="5">
        <v>44403</v>
      </c>
      <c r="X100" s="1">
        <v>2850000</v>
      </c>
      <c r="AB100" s="1" t="s">
        <v>44</v>
      </c>
      <c r="AF100" s="1">
        <v>10001</v>
      </c>
      <c r="AI100" s="1" t="s">
        <v>45</v>
      </c>
      <c r="AJ100" s="1">
        <v>2017</v>
      </c>
      <c r="AK100" s="1" t="s">
        <v>87</v>
      </c>
      <c r="AL100" s="1">
        <v>55</v>
      </c>
    </row>
    <row r="101" spans="1:38" x14ac:dyDescent="0.2">
      <c r="A101" s="2" t="str">
        <f>HYPERLINK("https://www.compass.com/listing/150-east-23rd-street-unit-14b-manhattan-ny-10010/770297858394710921/","150 E 23rd St, Unit 14B")</f>
        <v>150 E 23rd St, Unit 14B</v>
      </c>
      <c r="B101" s="2" t="str">
        <f>HYPERLINK("https://www.compass.com/building/celeste-gramercy-manhattan-ny/292795972759607813/","Celeste Gramercy")</f>
        <v>Celeste Gramercy</v>
      </c>
      <c r="C101" s="1" t="s">
        <v>101</v>
      </c>
      <c r="D101" s="1" t="s">
        <v>41</v>
      </c>
      <c r="E101" s="3">
        <v>2750000</v>
      </c>
      <c r="F101" s="1">
        <v>1891.3342503438701</v>
      </c>
      <c r="G101" s="1">
        <v>4</v>
      </c>
      <c r="H101" s="1">
        <v>2</v>
      </c>
      <c r="I101" s="1">
        <v>2</v>
      </c>
      <c r="J101" s="1">
        <v>2</v>
      </c>
      <c r="K101" s="1">
        <v>2</v>
      </c>
      <c r="M101" s="4">
        <v>1454</v>
      </c>
      <c r="N101" s="1">
        <v>1984</v>
      </c>
      <c r="O101" s="1">
        <v>3843</v>
      </c>
      <c r="P101" s="1">
        <v>1859</v>
      </c>
      <c r="Q101" s="1" t="s">
        <v>42</v>
      </c>
      <c r="S101" s="1" t="s">
        <v>42</v>
      </c>
      <c r="T101" s="1" t="s">
        <v>48</v>
      </c>
      <c r="U101" s="1">
        <v>113</v>
      </c>
      <c r="V101" s="5">
        <v>44424</v>
      </c>
      <c r="W101" s="5">
        <v>44314</v>
      </c>
      <c r="X101" s="1">
        <v>2750000</v>
      </c>
      <c r="AB101" s="1" t="s">
        <v>44</v>
      </c>
      <c r="AF101" s="1">
        <v>10010</v>
      </c>
      <c r="AI101" s="1" t="s">
        <v>45</v>
      </c>
      <c r="AJ101" s="1">
        <v>2018</v>
      </c>
      <c r="AK101" s="1" t="s">
        <v>50</v>
      </c>
      <c r="AL101" s="1">
        <v>51</v>
      </c>
    </row>
    <row r="102" spans="1:38" x14ac:dyDescent="0.2">
      <c r="A102" s="2" t="str">
        <f>HYPERLINK("https://www.compass.com/listing/269-west-87th-street-unit-14b-manhattan-ny-10024/706828438072492753/","269 W 87th St, Unit 14B")</f>
        <v>269 W 87th St, Unit 14B</v>
      </c>
      <c r="B102" s="2" t="str">
        <f>HYPERLINK("https://www.compass.com/building/west-end-and-eighty-seven-manhattan-ny/282058755477110005/","West End and Eighty Seven")</f>
        <v>West End and Eighty Seven</v>
      </c>
      <c r="C102" s="1" t="s">
        <v>47</v>
      </c>
      <c r="D102" s="1" t="s">
        <v>41</v>
      </c>
      <c r="E102" s="3">
        <v>3420000</v>
      </c>
      <c r="F102" s="1">
        <v>1701.4925373134299</v>
      </c>
      <c r="G102" s="1">
        <v>6</v>
      </c>
      <c r="H102" s="1">
        <v>3</v>
      </c>
      <c r="I102" s="1">
        <v>4</v>
      </c>
      <c r="J102" s="1">
        <v>3.5</v>
      </c>
      <c r="K102" s="1">
        <v>3</v>
      </c>
      <c r="L102" s="1">
        <v>1</v>
      </c>
      <c r="M102" s="4">
        <v>2010</v>
      </c>
      <c r="N102" s="1">
        <v>5534</v>
      </c>
      <c r="O102" s="1">
        <v>5534</v>
      </c>
      <c r="Q102" s="1" t="s">
        <v>109</v>
      </c>
      <c r="S102" s="1" t="s">
        <v>109</v>
      </c>
      <c r="T102" s="1" t="s">
        <v>48</v>
      </c>
      <c r="U102" s="1">
        <v>40</v>
      </c>
      <c r="V102" s="5">
        <v>44426</v>
      </c>
      <c r="W102" s="5">
        <v>44387</v>
      </c>
      <c r="X102" s="1">
        <v>3420000</v>
      </c>
      <c r="AB102" s="1" t="s">
        <v>44</v>
      </c>
      <c r="AD102" s="1" t="s">
        <v>110</v>
      </c>
      <c r="AE102" s="1" t="s">
        <v>111</v>
      </c>
      <c r="AF102" s="1">
        <v>10024</v>
      </c>
      <c r="AI102" s="1" t="s">
        <v>112</v>
      </c>
      <c r="AJ102" s="1">
        <v>2018</v>
      </c>
      <c r="AK102" s="1" t="s">
        <v>81</v>
      </c>
      <c r="AL102" s="1">
        <v>39</v>
      </c>
    </row>
    <row r="103" spans="1:38" x14ac:dyDescent="0.2">
      <c r="A103" s="2" t="str">
        <f>HYPERLINK("https://www.compass.com/listing/150-east-23rd-street-unit-phc-manhattan-ny-10010/340551966614435649/","150 E 23rd St, Unit PHC")</f>
        <v>150 E 23rd St, Unit PHC</v>
      </c>
      <c r="B103" s="2" t="str">
        <f t="shared" ref="B103:B105" si="15">HYPERLINK("https://www.compass.com/building/celeste-gramercy-manhattan-ny/292795972759607813/","Celeste Gramercy")</f>
        <v>Celeste Gramercy</v>
      </c>
      <c r="C103" s="1" t="s">
        <v>101</v>
      </c>
      <c r="D103" s="1" t="s">
        <v>41</v>
      </c>
      <c r="E103" s="3">
        <v>8150000</v>
      </c>
      <c r="F103" s="1">
        <v>2994.1219691403298</v>
      </c>
      <c r="G103" s="1">
        <v>5</v>
      </c>
      <c r="H103" s="1">
        <v>3</v>
      </c>
      <c r="I103" s="1">
        <v>4</v>
      </c>
      <c r="J103" s="1">
        <v>3.5</v>
      </c>
      <c r="K103" s="1">
        <v>3</v>
      </c>
      <c r="L103" s="1">
        <v>1</v>
      </c>
      <c r="M103" s="4">
        <v>2722</v>
      </c>
      <c r="N103" s="1">
        <v>4628</v>
      </c>
      <c r="O103" s="1">
        <v>8965</v>
      </c>
      <c r="P103" s="1">
        <v>4337</v>
      </c>
      <c r="Q103" s="1" t="s">
        <v>42</v>
      </c>
      <c r="S103" s="1" t="s">
        <v>42</v>
      </c>
      <c r="T103" s="1" t="s">
        <v>48</v>
      </c>
      <c r="U103" s="1">
        <v>612</v>
      </c>
      <c r="V103" s="5">
        <v>44424</v>
      </c>
      <c r="W103" s="5">
        <v>43721</v>
      </c>
      <c r="X103" s="1">
        <v>8150000</v>
      </c>
      <c r="AB103" s="1" t="s">
        <v>44</v>
      </c>
      <c r="AF103" s="1">
        <v>10010</v>
      </c>
      <c r="AI103" s="1" t="s">
        <v>104</v>
      </c>
      <c r="AJ103" s="1">
        <v>2018</v>
      </c>
      <c r="AK103" s="1" t="s">
        <v>81</v>
      </c>
      <c r="AL103" s="1">
        <v>51</v>
      </c>
    </row>
    <row r="104" spans="1:38" x14ac:dyDescent="0.2">
      <c r="A104" s="2" t="str">
        <f>HYPERLINK("https://www.compass.com/listing/150-east-23rd-street-unit-pha-manhattan-ny-10010/122395332813384897/","150 E 23rd St, Unit PHA")</f>
        <v>150 E 23rd St, Unit PHA</v>
      </c>
      <c r="B104" s="2" t="str">
        <f t="shared" si="15"/>
        <v>Celeste Gramercy</v>
      </c>
      <c r="C104" s="1" t="s">
        <v>101</v>
      </c>
      <c r="D104" s="1" t="s">
        <v>41</v>
      </c>
      <c r="E104" s="3">
        <v>5950000</v>
      </c>
      <c r="F104" s="1">
        <v>2497.9009235936101</v>
      </c>
      <c r="G104" s="1">
        <v>5.5</v>
      </c>
      <c r="H104" s="1">
        <v>3</v>
      </c>
      <c r="I104" s="1">
        <v>4</v>
      </c>
      <c r="J104" s="1">
        <v>3.5</v>
      </c>
      <c r="K104" s="1">
        <v>3</v>
      </c>
      <c r="L104" s="1">
        <v>1</v>
      </c>
      <c r="M104" s="4">
        <v>2382</v>
      </c>
      <c r="N104" s="1">
        <v>3646</v>
      </c>
      <c r="O104" s="1">
        <v>7063</v>
      </c>
      <c r="P104" s="1">
        <v>3417</v>
      </c>
      <c r="Q104" s="1" t="s">
        <v>42</v>
      </c>
      <c r="S104" s="1" t="s">
        <v>42</v>
      </c>
      <c r="T104" s="1" t="s">
        <v>48</v>
      </c>
      <c r="U104" s="1">
        <v>416</v>
      </c>
      <c r="V104" s="5">
        <v>44424</v>
      </c>
      <c r="W104" s="5">
        <v>43979</v>
      </c>
      <c r="Z104" s="5">
        <v>44070</v>
      </c>
      <c r="AB104" s="1" t="s">
        <v>44</v>
      </c>
      <c r="AF104" s="1">
        <v>10010</v>
      </c>
      <c r="AI104" s="1" t="s">
        <v>108</v>
      </c>
      <c r="AJ104" s="1">
        <v>2018</v>
      </c>
      <c r="AK104" s="1" t="s">
        <v>81</v>
      </c>
      <c r="AL104" s="1">
        <v>51</v>
      </c>
    </row>
    <row r="105" spans="1:38" x14ac:dyDescent="0.2">
      <c r="A105" s="2" t="str">
        <f>HYPERLINK("https://www.compass.com/listing/150-east-23rd-street-unit-16a-manhattan-ny-10010/770297756616696889/","150 E 23rd St, Unit 16A")</f>
        <v>150 E 23rd St, Unit 16A</v>
      </c>
      <c r="B105" s="2" t="str">
        <f t="shared" si="15"/>
        <v>Celeste Gramercy</v>
      </c>
      <c r="C105" s="1" t="s">
        <v>101</v>
      </c>
      <c r="D105" s="1" t="s">
        <v>41</v>
      </c>
      <c r="E105" s="3">
        <v>5100000</v>
      </c>
      <c r="F105" s="1">
        <v>2150.9911429776398</v>
      </c>
      <c r="G105" s="1">
        <v>5</v>
      </c>
      <c r="H105" s="1">
        <v>3</v>
      </c>
      <c r="I105" s="1">
        <v>3</v>
      </c>
      <c r="J105" s="1">
        <v>2.5</v>
      </c>
      <c r="K105" s="1">
        <v>2</v>
      </c>
      <c r="L105" s="1">
        <v>1</v>
      </c>
      <c r="M105" s="4">
        <v>2371</v>
      </c>
      <c r="N105" s="1">
        <v>3442</v>
      </c>
      <c r="O105" s="1">
        <v>6668</v>
      </c>
      <c r="P105" s="1">
        <v>3226</v>
      </c>
      <c r="Q105" s="1" t="s">
        <v>42</v>
      </c>
      <c r="S105" s="1" t="s">
        <v>42</v>
      </c>
      <c r="T105" s="1" t="s">
        <v>48</v>
      </c>
      <c r="U105" s="1">
        <v>113</v>
      </c>
      <c r="V105" s="5">
        <v>44424</v>
      </c>
      <c r="W105" s="5">
        <v>44314</v>
      </c>
      <c r="X105" s="1">
        <v>5100000</v>
      </c>
      <c r="AB105" s="1" t="s">
        <v>44</v>
      </c>
      <c r="AF105" s="1">
        <v>10010</v>
      </c>
      <c r="AI105" s="1" t="s">
        <v>113</v>
      </c>
      <c r="AJ105" s="1">
        <v>2018</v>
      </c>
      <c r="AK105" s="1" t="s">
        <v>50</v>
      </c>
      <c r="AL105" s="1">
        <v>51</v>
      </c>
    </row>
    <row r="106" spans="1:38" x14ac:dyDescent="0.2">
      <c r="A106" s="2" t="str">
        <f>HYPERLINK("https://www.compass.com/listing/269-west-87th-street-unit-15a-manhattan-ny-10024/803318712605671545/","269 W 87th St, Unit 15A")</f>
        <v>269 W 87th St, Unit 15A</v>
      </c>
      <c r="B106" s="2" t="str">
        <f>HYPERLINK("https://www.compass.com/building/west-end-and-eighty-seven-manhattan-ny/282058755477110005/","West End and Eighty Seven")</f>
        <v>West End and Eighty Seven</v>
      </c>
      <c r="C106" s="1" t="s">
        <v>47</v>
      </c>
      <c r="D106" s="1" t="s">
        <v>41</v>
      </c>
      <c r="E106" s="3">
        <v>3900000</v>
      </c>
      <c r="F106" s="1">
        <v>1655.3480475382</v>
      </c>
      <c r="G106" s="1">
        <v>6</v>
      </c>
      <c r="H106" s="1">
        <v>3</v>
      </c>
      <c r="I106" s="1">
        <v>4</v>
      </c>
      <c r="J106" s="1">
        <v>3.5</v>
      </c>
      <c r="K106" s="1">
        <v>3</v>
      </c>
      <c r="L106" s="1">
        <v>1</v>
      </c>
      <c r="M106" s="4">
        <v>2356</v>
      </c>
      <c r="N106" s="1">
        <v>6413</v>
      </c>
      <c r="O106" s="1">
        <v>6413</v>
      </c>
      <c r="Q106" s="1" t="s">
        <v>109</v>
      </c>
      <c r="S106" s="1" t="s">
        <v>109</v>
      </c>
      <c r="T106" s="1" t="s">
        <v>48</v>
      </c>
      <c r="U106" s="1">
        <v>40</v>
      </c>
      <c r="V106" s="5">
        <v>44426</v>
      </c>
      <c r="W106" s="5">
        <v>44387</v>
      </c>
      <c r="X106" s="1">
        <v>3900000</v>
      </c>
      <c r="AB106" s="1" t="s">
        <v>44</v>
      </c>
      <c r="AD106" s="1" t="s">
        <v>110</v>
      </c>
      <c r="AE106" s="1" t="s">
        <v>111</v>
      </c>
      <c r="AF106" s="1">
        <v>10024</v>
      </c>
      <c r="AI106" s="1" t="s">
        <v>114</v>
      </c>
      <c r="AJ106" s="1">
        <v>2018</v>
      </c>
      <c r="AK106" s="1" t="s">
        <v>81</v>
      </c>
      <c r="AL106" s="1">
        <v>39</v>
      </c>
    </row>
    <row r="107" spans="1:38" x14ac:dyDescent="0.2">
      <c r="A107" s="2" t="str">
        <f>HYPERLINK("https://www.compass.com/listing/200-east-21st-street-unit-17b-manhattan-ny-10010/455497421800761929/","200 E 21st St, Unit 17B")</f>
        <v>200 E 21st St, Unit 17B</v>
      </c>
      <c r="B107" s="2" t="str">
        <f>HYPERLINK("https://www.compass.com/building/200-east-21st-street-manhattan-ny/292796762689658005/","200 East 21st Street")</f>
        <v>200 East 21st Street</v>
      </c>
      <c r="C107" s="1" t="s">
        <v>101</v>
      </c>
      <c r="D107" s="1" t="s">
        <v>41</v>
      </c>
      <c r="E107" s="3">
        <v>6795000</v>
      </c>
      <c r="F107" s="1">
        <v>2516.6666666666601</v>
      </c>
      <c r="G107" s="1">
        <v>6</v>
      </c>
      <c r="H107" s="1">
        <v>3</v>
      </c>
      <c r="I107" s="1">
        <v>4</v>
      </c>
      <c r="J107" s="1">
        <v>3.5</v>
      </c>
      <c r="K107" s="1">
        <v>3</v>
      </c>
      <c r="L107" s="1">
        <v>1</v>
      </c>
      <c r="M107" s="4">
        <v>2700</v>
      </c>
      <c r="N107" s="1">
        <v>2751</v>
      </c>
      <c r="O107" s="1">
        <v>6306</v>
      </c>
      <c r="P107" s="1">
        <v>3555</v>
      </c>
      <c r="Q107" s="1" t="s">
        <v>42</v>
      </c>
      <c r="S107" s="1" t="s">
        <v>42</v>
      </c>
      <c r="T107" s="1" t="s">
        <v>48</v>
      </c>
      <c r="U107" s="1">
        <v>454</v>
      </c>
      <c r="V107" s="5">
        <v>44427</v>
      </c>
      <c r="W107" s="5">
        <v>43879</v>
      </c>
      <c r="X107" s="1">
        <v>6795000</v>
      </c>
      <c r="AB107" s="1" t="s">
        <v>44</v>
      </c>
      <c r="AF107" s="1">
        <v>10010</v>
      </c>
      <c r="AI107" s="1" t="s">
        <v>115</v>
      </c>
      <c r="AJ107" s="1">
        <v>2018</v>
      </c>
      <c r="AK107" s="1" t="s">
        <v>94</v>
      </c>
      <c r="AL107" s="1">
        <v>67</v>
      </c>
    </row>
    <row r="108" spans="1:38" x14ac:dyDescent="0.2">
      <c r="A108" s="2" t="str">
        <f>HYPERLINK("https://www.compass.com/listing/225-west-86th-street-unit-m16-manhattan-ny-10024/812413648775215513/","225 W 86th St, Unit M16")</f>
        <v>225 W 86th St, Unit M16</v>
      </c>
      <c r="B108" s="2" t="str">
        <f>HYPERLINK("https://www.compass.com/building/the-belnord-manhattan-ny/292869672083214101/","The Belnord")</f>
        <v>The Belnord</v>
      </c>
      <c r="C108" s="1" t="s">
        <v>47</v>
      </c>
      <c r="D108" s="1" t="s">
        <v>41</v>
      </c>
      <c r="E108" s="3">
        <v>4995000</v>
      </c>
      <c r="F108" s="1">
        <v>2231.9034852546902</v>
      </c>
      <c r="G108" s="1">
        <v>5</v>
      </c>
      <c r="H108" s="1">
        <v>3</v>
      </c>
      <c r="I108" s="1">
        <v>4</v>
      </c>
      <c r="J108" s="1">
        <v>3.5</v>
      </c>
      <c r="K108" s="1">
        <v>3</v>
      </c>
      <c r="L108" s="1">
        <v>1</v>
      </c>
      <c r="M108" s="4">
        <v>2238</v>
      </c>
      <c r="N108" s="1">
        <v>1936</v>
      </c>
      <c r="O108" s="1">
        <v>5357</v>
      </c>
      <c r="P108" s="1">
        <v>3421</v>
      </c>
      <c r="Q108" s="1" t="s">
        <v>42</v>
      </c>
      <c r="S108" s="1" t="s">
        <v>42</v>
      </c>
      <c r="T108" s="1" t="s">
        <v>48</v>
      </c>
      <c r="U108" s="1">
        <v>55</v>
      </c>
      <c r="V108" s="5">
        <v>44427</v>
      </c>
      <c r="W108" s="5">
        <v>44372</v>
      </c>
      <c r="X108" s="1">
        <v>4995000</v>
      </c>
      <c r="AB108" s="1" t="s">
        <v>44</v>
      </c>
      <c r="AD108" s="1" t="s">
        <v>85</v>
      </c>
      <c r="AE108" s="1" t="s">
        <v>64</v>
      </c>
      <c r="AF108" s="1">
        <v>10024</v>
      </c>
      <c r="AI108" s="1" t="s">
        <v>67</v>
      </c>
      <c r="AJ108" s="1">
        <v>1908</v>
      </c>
      <c r="AK108" s="1" t="s">
        <v>81</v>
      </c>
      <c r="AL108" s="1">
        <v>213</v>
      </c>
    </row>
    <row r="109" spans="1:38" x14ac:dyDescent="0.2">
      <c r="A109" s="2" t="str">
        <f>HYPERLINK("https://www.compass.com/listing/32-east-1st-street-unit-5d-manhattan-ny-10003/799911026643171913/","32 E 1st St, Unit 5D")</f>
        <v>32 E 1st St, Unit 5D</v>
      </c>
      <c r="B109" s="2" t="str">
        <f>HYPERLINK("https://www.compass.com/building/32-east-1st-street-manhattan-ny/292783157810310133/","32 East 1st Street")</f>
        <v>32 East 1st Street</v>
      </c>
      <c r="C109" s="1" t="s">
        <v>88</v>
      </c>
      <c r="D109" s="1" t="s">
        <v>41</v>
      </c>
      <c r="E109" s="3">
        <v>2800000</v>
      </c>
      <c r="F109" s="1">
        <v>2571.16620752984</v>
      </c>
      <c r="G109" s="1">
        <v>4</v>
      </c>
      <c r="H109" s="1">
        <v>2</v>
      </c>
      <c r="I109" s="1">
        <v>2</v>
      </c>
      <c r="J109" s="1">
        <v>2</v>
      </c>
      <c r="K109" s="1">
        <v>2</v>
      </c>
      <c r="M109" s="4">
        <v>1089</v>
      </c>
      <c r="N109" s="1">
        <v>1397</v>
      </c>
      <c r="O109" s="1">
        <v>3511</v>
      </c>
      <c r="P109" s="1">
        <v>2114</v>
      </c>
      <c r="Q109" s="1" t="s">
        <v>42</v>
      </c>
      <c r="S109" s="1" t="s">
        <v>42</v>
      </c>
      <c r="T109" s="1" t="s">
        <v>48</v>
      </c>
      <c r="U109" s="1">
        <v>72</v>
      </c>
      <c r="V109" s="5">
        <v>44427</v>
      </c>
      <c r="W109" s="5">
        <v>44355</v>
      </c>
      <c r="X109" s="1">
        <v>2800000</v>
      </c>
      <c r="AB109" s="1" t="s">
        <v>44</v>
      </c>
      <c r="AF109" s="1">
        <v>10003</v>
      </c>
      <c r="AI109" s="1" t="s">
        <v>45</v>
      </c>
      <c r="AJ109" s="1">
        <v>2019</v>
      </c>
      <c r="AK109" s="1" t="s">
        <v>55</v>
      </c>
      <c r="AL109" s="1">
        <v>30</v>
      </c>
    </row>
    <row r="110" spans="1:38" x14ac:dyDescent="0.2">
      <c r="A110" s="2" t="str">
        <f>HYPERLINK("https://www.compass.com/listing/225-west-86th-street-unit-1107-manhattan-ny-10024/812390322237504689/","225 W 86th St, Unit 1107")</f>
        <v>225 W 86th St, Unit 1107</v>
      </c>
      <c r="B110" s="2" t="str">
        <f>HYPERLINK("https://www.compass.com/building/the-belnord-manhattan-ny/292869672083214101/","The Belnord")</f>
        <v>The Belnord</v>
      </c>
      <c r="C110" s="1" t="s">
        <v>47</v>
      </c>
      <c r="D110" s="1" t="s">
        <v>41</v>
      </c>
      <c r="E110" s="3">
        <v>5995000</v>
      </c>
      <c r="F110" s="1">
        <v>2649.13831197525</v>
      </c>
      <c r="G110" s="1">
        <v>7.5</v>
      </c>
      <c r="H110" s="1">
        <v>3</v>
      </c>
      <c r="I110" s="1">
        <v>4</v>
      </c>
      <c r="J110" s="1">
        <v>3.5</v>
      </c>
      <c r="K110" s="1">
        <v>3</v>
      </c>
      <c r="L110" s="1">
        <v>1</v>
      </c>
      <c r="M110" s="4">
        <v>2263</v>
      </c>
      <c r="N110" s="1">
        <v>1957</v>
      </c>
      <c r="O110" s="1">
        <v>5590</v>
      </c>
      <c r="P110" s="1">
        <v>3633</v>
      </c>
      <c r="Q110" s="1" t="s">
        <v>42</v>
      </c>
      <c r="S110" s="1" t="s">
        <v>42</v>
      </c>
      <c r="T110" s="1" t="s">
        <v>48</v>
      </c>
      <c r="U110" s="1">
        <v>55</v>
      </c>
      <c r="V110" s="5">
        <v>44427</v>
      </c>
      <c r="W110" s="5">
        <v>44372</v>
      </c>
      <c r="X110" s="1">
        <v>1</v>
      </c>
      <c r="AB110" s="1" t="s">
        <v>44</v>
      </c>
      <c r="AD110" s="1" t="s">
        <v>85</v>
      </c>
      <c r="AE110" s="1" t="s">
        <v>64</v>
      </c>
      <c r="AF110" s="1">
        <v>10024</v>
      </c>
      <c r="AI110" s="1" t="s">
        <v>67</v>
      </c>
      <c r="AJ110" s="1">
        <v>1908</v>
      </c>
      <c r="AK110" s="1" t="s">
        <v>81</v>
      </c>
      <c r="AL110" s="1">
        <v>213</v>
      </c>
    </row>
    <row r="111" spans="1:38" x14ac:dyDescent="0.2">
      <c r="A111" s="2" t="str">
        <f>HYPERLINK("https://www.compass.com/listing/269-west-87th-street-unit-10c-manhattan-ny-10024/809413429745331545/","269 W 87th St, Unit 10C")</f>
        <v>269 W 87th St, Unit 10C</v>
      </c>
      <c r="B111" s="2" t="str">
        <f>HYPERLINK("https://www.compass.com/building/west-end-and-eighty-seven-manhattan-ny/282058755477110005/","West End and Eighty Seven")</f>
        <v>West End and Eighty Seven</v>
      </c>
      <c r="C111" s="1" t="s">
        <v>47</v>
      </c>
      <c r="D111" s="1" t="s">
        <v>41</v>
      </c>
      <c r="E111" s="3">
        <v>2019000</v>
      </c>
      <c r="F111" s="1">
        <v>1201.0707911957099</v>
      </c>
      <c r="G111" s="1">
        <v>5</v>
      </c>
      <c r="H111" s="1">
        <v>3</v>
      </c>
      <c r="I111" s="1">
        <v>3</v>
      </c>
      <c r="J111" s="1">
        <v>2.5</v>
      </c>
      <c r="K111" s="1">
        <v>2</v>
      </c>
      <c r="L111" s="1">
        <v>1</v>
      </c>
      <c r="M111" s="4">
        <v>1681</v>
      </c>
      <c r="N111" s="1">
        <v>4523</v>
      </c>
      <c r="O111" s="1">
        <v>4523</v>
      </c>
      <c r="Q111" s="1" t="s">
        <v>109</v>
      </c>
      <c r="S111" s="1" t="s">
        <v>109</v>
      </c>
      <c r="T111" s="1" t="s">
        <v>48</v>
      </c>
      <c r="U111" s="1">
        <v>59</v>
      </c>
      <c r="V111" s="5">
        <v>44426</v>
      </c>
      <c r="W111" s="5">
        <v>44368</v>
      </c>
      <c r="X111" s="1">
        <v>2019000</v>
      </c>
      <c r="AB111" s="1" t="s">
        <v>44</v>
      </c>
      <c r="AD111" s="1" t="s">
        <v>116</v>
      </c>
      <c r="AE111" s="1" t="s">
        <v>111</v>
      </c>
      <c r="AF111" s="1">
        <v>10024</v>
      </c>
      <c r="AI111" s="1" t="s">
        <v>117</v>
      </c>
      <c r="AJ111" s="1">
        <v>2018</v>
      </c>
      <c r="AK111" s="1" t="s">
        <v>81</v>
      </c>
      <c r="AL111" s="1">
        <v>39</v>
      </c>
    </row>
    <row r="112" spans="1:38" x14ac:dyDescent="0.2">
      <c r="A112" s="2" t="str">
        <f>HYPERLINK("https://www.compass.com/listing/212-5th-avenue-unit-16b-manhattan-ny-10010/803341651657312657/","212 5th Ave, Unit 16B")</f>
        <v>212 5th Ave, Unit 16B</v>
      </c>
      <c r="B112" s="2" t="str">
        <f>HYPERLINK("https://www.compass.com/building/212-5th-ave-manhattan-ny-10010/281902136567020981/","212 5th Ave")</f>
        <v>212 5th Ave</v>
      </c>
      <c r="C112" s="1" t="s">
        <v>95</v>
      </c>
      <c r="D112" s="1" t="s">
        <v>41</v>
      </c>
      <c r="E112" s="3">
        <v>10600000</v>
      </c>
      <c r="F112" s="1">
        <v>3443.79467186484</v>
      </c>
      <c r="G112" s="1">
        <v>5</v>
      </c>
      <c r="H112" s="1">
        <v>3</v>
      </c>
      <c r="I112" s="1">
        <v>4</v>
      </c>
      <c r="J112" s="1">
        <v>3.5</v>
      </c>
      <c r="K112" s="1">
        <v>3</v>
      </c>
      <c r="L112" s="1">
        <v>1</v>
      </c>
      <c r="M112" s="4">
        <v>3078</v>
      </c>
      <c r="N112" s="1">
        <v>4123.04</v>
      </c>
      <c r="O112" s="1">
        <v>8871.0400000000009</v>
      </c>
      <c r="P112" s="1">
        <v>4748</v>
      </c>
      <c r="Q112" s="1" t="s">
        <v>42</v>
      </c>
      <c r="S112" s="1" t="s">
        <v>42</v>
      </c>
      <c r="T112" s="1" t="s">
        <v>48</v>
      </c>
      <c r="U112" s="1">
        <v>38</v>
      </c>
      <c r="V112" s="5">
        <v>44427</v>
      </c>
      <c r="W112" s="5">
        <v>44389</v>
      </c>
      <c r="X112" s="1">
        <v>10600000</v>
      </c>
      <c r="AB112" s="1" t="s">
        <v>44</v>
      </c>
      <c r="AF112" s="1">
        <v>10010</v>
      </c>
      <c r="AJ112" s="1">
        <v>1912</v>
      </c>
      <c r="AK112" s="1" t="s">
        <v>81</v>
      </c>
      <c r="AL112" s="1">
        <v>48</v>
      </c>
    </row>
    <row r="113" spans="1:38" x14ac:dyDescent="0.2">
      <c r="A113" s="2" t="str">
        <f>HYPERLINK("https://www.compass.com/listing/75-kenmare-street-unit-pha-manhattan-ny-10012/810998161519788313/","75 Kenmare St, Unit PHA")</f>
        <v>75 Kenmare St, Unit PHA</v>
      </c>
      <c r="B113" s="2" t="str">
        <f>HYPERLINK("https://www.compass.com/building/75-kenmare-street-manhattan-ny/292810164757628581/","75 Kenmare Street")</f>
        <v>75 Kenmare Street</v>
      </c>
      <c r="C113" s="1" t="s">
        <v>118</v>
      </c>
      <c r="D113" s="1" t="s">
        <v>41</v>
      </c>
      <c r="E113" s="3">
        <v>11500000</v>
      </c>
      <c r="F113" s="1">
        <v>3811.7335101093799</v>
      </c>
      <c r="G113" s="1">
        <v>6</v>
      </c>
      <c r="H113" s="1">
        <v>4</v>
      </c>
      <c r="I113" s="1">
        <v>5</v>
      </c>
      <c r="J113" s="1">
        <v>4.5</v>
      </c>
      <c r="K113" s="1">
        <v>4</v>
      </c>
      <c r="L113" s="1">
        <v>1</v>
      </c>
      <c r="M113" s="4">
        <v>3017</v>
      </c>
      <c r="N113" s="1">
        <v>3911</v>
      </c>
      <c r="O113" s="1">
        <v>10698</v>
      </c>
      <c r="P113" s="1">
        <v>6787</v>
      </c>
      <c r="Q113" s="1" t="s">
        <v>42</v>
      </c>
      <c r="S113" s="1" t="s">
        <v>42</v>
      </c>
      <c r="T113" s="1" t="s">
        <v>48</v>
      </c>
      <c r="U113" s="1">
        <v>57</v>
      </c>
      <c r="V113" s="5">
        <v>44427</v>
      </c>
      <c r="W113" s="5">
        <v>44370</v>
      </c>
      <c r="X113" s="1">
        <v>11500000</v>
      </c>
      <c r="AB113" s="1" t="s">
        <v>44</v>
      </c>
      <c r="AD113" s="1" t="s">
        <v>119</v>
      </c>
      <c r="AE113" s="1" t="s">
        <v>64</v>
      </c>
      <c r="AF113" s="1">
        <v>10012</v>
      </c>
      <c r="AI113" s="1" t="s">
        <v>120</v>
      </c>
      <c r="AJ113" s="1">
        <v>2017</v>
      </c>
      <c r="AK113" s="1" t="s">
        <v>121</v>
      </c>
      <c r="AL113" s="1">
        <v>38</v>
      </c>
    </row>
    <row r="114" spans="1:38" x14ac:dyDescent="0.2">
      <c r="A114" s="2" t="str">
        <f>HYPERLINK("https://www.compass.com/listing/111-leroy-street-unit-ph-manhattan-ny-10014/765222738702621545/","111 Leroy St, Unit PH")</f>
        <v>111 Leroy St, Unit PH</v>
      </c>
      <c r="B114" s="2" t="str">
        <f>HYPERLINK("https://www.compass.com/building/111-leroy-st-manhattan-ny-10014/281921905882074869/","111 Leroy St")</f>
        <v>111 Leroy St</v>
      </c>
      <c r="C114" s="1" t="s">
        <v>68</v>
      </c>
      <c r="D114" s="1" t="s">
        <v>41</v>
      </c>
      <c r="E114" s="3">
        <v>9500000</v>
      </c>
      <c r="F114" s="1">
        <v>3182.57956448911</v>
      </c>
      <c r="G114" s="1">
        <v>5.5</v>
      </c>
      <c r="H114" s="1">
        <v>2</v>
      </c>
      <c r="I114" s="1">
        <v>3</v>
      </c>
      <c r="J114" s="1">
        <v>2.5</v>
      </c>
      <c r="K114" s="1">
        <v>2</v>
      </c>
      <c r="L114" s="1">
        <v>1</v>
      </c>
      <c r="M114" s="4">
        <v>2985</v>
      </c>
      <c r="N114" s="1">
        <v>6361</v>
      </c>
      <c r="O114" s="1">
        <v>11781</v>
      </c>
      <c r="P114" s="1">
        <v>5420</v>
      </c>
      <c r="Q114" s="1" t="s">
        <v>42</v>
      </c>
      <c r="S114" s="1" t="s">
        <v>42</v>
      </c>
      <c r="T114" s="1" t="s">
        <v>48</v>
      </c>
      <c r="U114" s="1">
        <v>120</v>
      </c>
      <c r="V114" s="5">
        <v>44427</v>
      </c>
      <c r="W114" s="5">
        <v>44307</v>
      </c>
      <c r="X114" s="1">
        <v>9500000</v>
      </c>
      <c r="AB114" s="1" t="s">
        <v>44</v>
      </c>
      <c r="AF114" s="1">
        <v>10014</v>
      </c>
      <c r="AI114" s="1" t="s">
        <v>122</v>
      </c>
      <c r="AJ114" s="1">
        <v>2019</v>
      </c>
      <c r="AK114" s="1" t="s">
        <v>121</v>
      </c>
      <c r="AL114" s="1">
        <v>13</v>
      </c>
    </row>
    <row r="115" spans="1:38" x14ac:dyDescent="0.2">
      <c r="A115" s="2" t="str">
        <f>HYPERLINK("https://www.compass.com/listing/212-west-95th-street-unit-7b-manhattan-ny-10025/370191661954570737/","212 W 95th St, Unit 7B")</f>
        <v>212 W 95th St, Unit 7B</v>
      </c>
      <c r="B115" s="2" t="str">
        <f>HYPERLINK("https://www.compass.com/building/dahlia-manhattan-ny/282058919214351605/","Dahlia")</f>
        <v>Dahlia</v>
      </c>
      <c r="C115" s="1" t="s">
        <v>47</v>
      </c>
      <c r="D115" s="1" t="s">
        <v>41</v>
      </c>
      <c r="E115" s="3">
        <v>2575000</v>
      </c>
      <c r="F115" s="1">
        <v>1743.39878131347</v>
      </c>
      <c r="G115" s="1">
        <v>5</v>
      </c>
      <c r="H115" s="1">
        <v>3</v>
      </c>
      <c r="I115" s="1">
        <v>3</v>
      </c>
      <c r="J115" s="1">
        <v>3</v>
      </c>
      <c r="K115" s="1">
        <v>3</v>
      </c>
      <c r="M115" s="4">
        <v>1477</v>
      </c>
      <c r="N115" s="1">
        <v>1288</v>
      </c>
      <c r="O115" s="1">
        <v>3851</v>
      </c>
      <c r="P115" s="1">
        <v>2563</v>
      </c>
      <c r="Q115" s="1" t="s">
        <v>42</v>
      </c>
      <c r="S115" s="1" t="s">
        <v>42</v>
      </c>
      <c r="T115" s="1" t="s">
        <v>48</v>
      </c>
      <c r="U115" s="1">
        <v>379</v>
      </c>
      <c r="V115" s="5">
        <v>44409</v>
      </c>
      <c r="W115" s="5">
        <v>43762</v>
      </c>
      <c r="X115" s="1">
        <v>2875000</v>
      </c>
      <c r="AB115" s="1" t="s">
        <v>44</v>
      </c>
      <c r="AF115" s="1">
        <v>10025</v>
      </c>
      <c r="AI115" s="1" t="s">
        <v>52</v>
      </c>
      <c r="AJ115" s="1">
        <v>2019</v>
      </c>
      <c r="AK115" s="1" t="s">
        <v>87</v>
      </c>
      <c r="AL115" s="1">
        <v>38</v>
      </c>
    </row>
    <row r="116" spans="1:38" x14ac:dyDescent="0.2">
      <c r="A116" s="2" t="str">
        <f>HYPERLINK("https://www.compass.com/listing/40-bleecker-street-unit-7e-manhattan-ny-10012/774029613365270113/","40 Bleecker St, Unit 7E")</f>
        <v>40 Bleecker St, Unit 7E</v>
      </c>
      <c r="B116" s="2" t="str">
        <f t="shared" ref="B116:B117" si="16">HYPERLINK("https://www.compass.com/building/40-bleecker-manhattan-ny/282058881784380757/","40 Bleecker")</f>
        <v>40 Bleecker</v>
      </c>
      <c r="C116" s="1" t="s">
        <v>92</v>
      </c>
      <c r="D116" s="1" t="s">
        <v>41</v>
      </c>
      <c r="E116" s="3">
        <v>5700000</v>
      </c>
      <c r="F116" s="1">
        <v>3044.8717948717899</v>
      </c>
      <c r="G116" s="1">
        <v>5</v>
      </c>
      <c r="H116" s="1">
        <v>3</v>
      </c>
      <c r="I116" s="1">
        <v>4</v>
      </c>
      <c r="J116" s="1">
        <v>3.5</v>
      </c>
      <c r="K116" s="1">
        <v>3</v>
      </c>
      <c r="L116" s="1">
        <v>1</v>
      </c>
      <c r="M116" s="4">
        <v>1872</v>
      </c>
      <c r="N116" s="1">
        <v>2720</v>
      </c>
      <c r="O116" s="1">
        <v>5934</v>
      </c>
      <c r="P116" s="1">
        <v>3214</v>
      </c>
      <c r="Q116" s="1" t="s">
        <v>42</v>
      </c>
      <c r="S116" s="1" t="s">
        <v>42</v>
      </c>
      <c r="T116" s="1" t="s">
        <v>48</v>
      </c>
      <c r="U116" s="1">
        <v>108</v>
      </c>
      <c r="V116" s="5">
        <v>44427</v>
      </c>
      <c r="W116" s="5">
        <v>44319</v>
      </c>
      <c r="X116" s="1">
        <v>5700000</v>
      </c>
      <c r="AB116" s="1" t="s">
        <v>44</v>
      </c>
      <c r="AF116" s="1">
        <v>10012</v>
      </c>
      <c r="AI116" s="1" t="s">
        <v>58</v>
      </c>
      <c r="AJ116" s="1">
        <v>2019</v>
      </c>
      <c r="AK116" s="1" t="s">
        <v>94</v>
      </c>
      <c r="AL116" s="1">
        <v>61</v>
      </c>
    </row>
    <row r="117" spans="1:38" x14ac:dyDescent="0.2">
      <c r="A117" s="2" t="str">
        <f>HYPERLINK("https://www.compass.com/listing/40-bleecker-street-unit-2b-manhattan-ny-10012/743521658727464601/","40 Bleecker St, Unit 2B")</f>
        <v>40 Bleecker St, Unit 2B</v>
      </c>
      <c r="B117" s="2" t="str">
        <f t="shared" si="16"/>
        <v>40 Bleecker</v>
      </c>
      <c r="C117" s="1" t="s">
        <v>92</v>
      </c>
      <c r="D117" s="1" t="s">
        <v>41</v>
      </c>
      <c r="E117" s="3">
        <v>5995000</v>
      </c>
      <c r="F117" s="1">
        <v>3088.6141164348201</v>
      </c>
      <c r="G117" s="1">
        <v>6</v>
      </c>
      <c r="H117" s="1">
        <v>3</v>
      </c>
      <c r="I117" s="1">
        <v>4</v>
      </c>
      <c r="J117" s="1">
        <v>3.5</v>
      </c>
      <c r="K117" s="1">
        <v>3</v>
      </c>
      <c r="L117" s="1">
        <v>1</v>
      </c>
      <c r="M117" s="4">
        <v>1941</v>
      </c>
      <c r="N117" s="1">
        <v>2820</v>
      </c>
      <c r="O117" s="1">
        <v>6152</v>
      </c>
      <c r="P117" s="1">
        <v>3332</v>
      </c>
      <c r="S117" s="1" t="s">
        <v>42</v>
      </c>
      <c r="T117" s="1" t="s">
        <v>48</v>
      </c>
      <c r="U117" s="1">
        <v>156</v>
      </c>
      <c r="V117" s="5">
        <v>44342</v>
      </c>
      <c r="W117" s="5">
        <v>44270</v>
      </c>
      <c r="X117" s="1">
        <v>5995000</v>
      </c>
      <c r="AB117" s="1" t="s">
        <v>44</v>
      </c>
      <c r="AF117" s="1">
        <v>10012</v>
      </c>
      <c r="AI117" s="1" t="s">
        <v>58</v>
      </c>
      <c r="AJ117" s="1">
        <v>2019</v>
      </c>
      <c r="AK117" s="1" t="s">
        <v>50</v>
      </c>
      <c r="AL117" s="1">
        <v>61</v>
      </c>
    </row>
    <row r="118" spans="1:38" x14ac:dyDescent="0.2">
      <c r="A118" s="2" t="str">
        <f>HYPERLINK("https://www.compass.com/listing/212-west-95th-street-unit-7a-manhattan-ny-10025/309350221439691489/","212 W 95th St, Unit 7A")</f>
        <v>212 W 95th St, Unit 7A</v>
      </c>
      <c r="B118" s="2" t="str">
        <f>HYPERLINK("https://www.compass.com/building/dahlia-manhattan-ny/282058919214351605/","Dahlia")</f>
        <v>Dahlia</v>
      </c>
      <c r="C118" s="1" t="s">
        <v>47</v>
      </c>
      <c r="D118" s="1" t="s">
        <v>41</v>
      </c>
      <c r="E118" s="3">
        <v>3400000</v>
      </c>
      <c r="F118" s="1">
        <v>2316.0762942779202</v>
      </c>
      <c r="G118" s="1">
        <v>5</v>
      </c>
      <c r="H118" s="1">
        <v>3</v>
      </c>
      <c r="I118" s="1">
        <v>3</v>
      </c>
      <c r="J118" s="1">
        <v>3</v>
      </c>
      <c r="K118" s="1">
        <v>3</v>
      </c>
      <c r="M118" s="4">
        <v>1468</v>
      </c>
      <c r="N118" s="1">
        <v>1456</v>
      </c>
      <c r="O118" s="1">
        <v>4353</v>
      </c>
      <c r="P118" s="1">
        <v>2897</v>
      </c>
      <c r="Q118" s="1" t="s">
        <v>42</v>
      </c>
      <c r="S118" s="1" t="s">
        <v>42</v>
      </c>
      <c r="T118" s="1" t="s">
        <v>48</v>
      </c>
      <c r="U118" s="1">
        <v>576</v>
      </c>
      <c r="V118" s="5">
        <v>44409</v>
      </c>
      <c r="W118" s="5">
        <v>43678</v>
      </c>
      <c r="X118" s="1">
        <v>3300000</v>
      </c>
      <c r="AB118" s="1" t="s">
        <v>44</v>
      </c>
      <c r="AF118" s="1">
        <v>10025</v>
      </c>
      <c r="AI118" s="1" t="s">
        <v>123</v>
      </c>
      <c r="AJ118" s="1">
        <v>2019</v>
      </c>
      <c r="AK118" s="1" t="s">
        <v>87</v>
      </c>
      <c r="AL118" s="1">
        <v>38</v>
      </c>
    </row>
    <row r="119" spans="1:38" x14ac:dyDescent="0.2">
      <c r="A119" s="2" t="str">
        <f>HYPERLINK("https://www.compass.com/listing/40-bleecker-street-unit-8a-manhattan-ny-10012/763858336492212761/","40 Bleecker St, Unit 8A")</f>
        <v>40 Bleecker St, Unit 8A</v>
      </c>
      <c r="B119" s="2" t="str">
        <f t="shared" ref="B119:B120" si="17">HYPERLINK("https://www.compass.com/building/40-bleecker-manhattan-ny/282058881784380757/","40 Bleecker")</f>
        <v>40 Bleecker</v>
      </c>
      <c r="C119" s="1" t="s">
        <v>92</v>
      </c>
      <c r="D119" s="1" t="s">
        <v>41</v>
      </c>
      <c r="E119" s="3">
        <v>4600000</v>
      </c>
      <c r="F119" s="1">
        <v>3054.4488711819299</v>
      </c>
      <c r="G119" s="1">
        <v>4.5</v>
      </c>
      <c r="H119" s="1">
        <v>2</v>
      </c>
      <c r="I119" s="1">
        <v>3</v>
      </c>
      <c r="J119" s="1">
        <v>2.5</v>
      </c>
      <c r="K119" s="1">
        <v>2</v>
      </c>
      <c r="L119" s="1">
        <v>1</v>
      </c>
      <c r="M119" s="4">
        <v>1506</v>
      </c>
      <c r="N119" s="1">
        <v>2188</v>
      </c>
      <c r="O119" s="1">
        <v>4773</v>
      </c>
      <c r="P119" s="1">
        <v>2585</v>
      </c>
      <c r="Q119" s="1" t="s">
        <v>42</v>
      </c>
      <c r="S119" s="1" t="s">
        <v>42</v>
      </c>
      <c r="T119" s="1" t="s">
        <v>48</v>
      </c>
      <c r="U119" s="1">
        <v>125</v>
      </c>
      <c r="V119" s="5">
        <v>44427</v>
      </c>
      <c r="W119" s="5">
        <v>44302</v>
      </c>
      <c r="X119" s="1">
        <v>4600000</v>
      </c>
      <c r="AB119" s="1" t="s">
        <v>44</v>
      </c>
      <c r="AF119" s="1">
        <v>10012</v>
      </c>
      <c r="AI119" s="1" t="s">
        <v>58</v>
      </c>
      <c r="AJ119" s="1">
        <v>2019</v>
      </c>
      <c r="AK119" s="1" t="s">
        <v>94</v>
      </c>
      <c r="AL119" s="1">
        <v>61</v>
      </c>
    </row>
    <row r="120" spans="1:38" x14ac:dyDescent="0.2">
      <c r="A120" s="2" t="str">
        <f>HYPERLINK("https://www.compass.com/listing/40-bleecker-street-unit-7a-manhattan-ny-10012/781348557111564457/","40 Bleecker St, Unit 7A")</f>
        <v>40 Bleecker St, Unit 7A</v>
      </c>
      <c r="B120" s="2" t="str">
        <f t="shared" si="17"/>
        <v>40 Bleecker</v>
      </c>
      <c r="C120" s="1" t="s">
        <v>92</v>
      </c>
      <c r="D120" s="1" t="s">
        <v>41</v>
      </c>
      <c r="E120" s="3">
        <v>4500000</v>
      </c>
      <c r="F120" s="1">
        <v>2988.0478087649399</v>
      </c>
      <c r="G120" s="1">
        <v>5</v>
      </c>
      <c r="H120" s="1">
        <v>2</v>
      </c>
      <c r="I120" s="1">
        <v>3</v>
      </c>
      <c r="J120" s="1">
        <v>2.5</v>
      </c>
      <c r="K120" s="1">
        <v>2</v>
      </c>
      <c r="L120" s="1">
        <v>1</v>
      </c>
      <c r="M120" s="4">
        <v>1506</v>
      </c>
      <c r="N120" s="1">
        <v>2189</v>
      </c>
      <c r="O120" s="1">
        <v>4774</v>
      </c>
      <c r="P120" s="1">
        <v>2585</v>
      </c>
      <c r="Q120" s="1" t="s">
        <v>42</v>
      </c>
      <c r="S120" s="1" t="s">
        <v>42</v>
      </c>
      <c r="T120" s="1" t="s">
        <v>48</v>
      </c>
      <c r="U120" s="1">
        <v>272</v>
      </c>
      <c r="V120" s="5">
        <v>44427</v>
      </c>
      <c r="W120" s="5">
        <v>44154</v>
      </c>
      <c r="X120" s="1">
        <v>4500000</v>
      </c>
      <c r="AB120" s="1" t="s">
        <v>44</v>
      </c>
      <c r="AF120" s="1">
        <v>10012</v>
      </c>
      <c r="AI120" s="1" t="s">
        <v>58</v>
      </c>
      <c r="AJ120" s="1">
        <v>2019</v>
      </c>
      <c r="AK120" s="1" t="s">
        <v>94</v>
      </c>
      <c r="AL120" s="1">
        <v>61</v>
      </c>
    </row>
    <row r="121" spans="1:38" x14ac:dyDescent="0.2">
      <c r="A121" s="2" t="str">
        <f>HYPERLINK("https://www.compass.com/listing/225-west-86th-street-unit-315-manhattan-ny-10024/794871132405927873/","225 W 86th St, Unit 315")</f>
        <v>225 W 86th St, Unit 315</v>
      </c>
      <c r="B121" s="2" t="str">
        <f>HYPERLINK("https://www.compass.com/building/the-belnord-manhattan-ny/292869672083214101/","The Belnord")</f>
        <v>The Belnord</v>
      </c>
      <c r="C121" s="1" t="s">
        <v>47</v>
      </c>
      <c r="D121" s="1" t="s">
        <v>41</v>
      </c>
      <c r="E121" s="3">
        <v>4750000</v>
      </c>
      <c r="G121" s="1">
        <v>5.5</v>
      </c>
      <c r="H121" s="1">
        <v>3</v>
      </c>
      <c r="I121" s="1">
        <v>3</v>
      </c>
      <c r="J121" s="1">
        <v>2.5</v>
      </c>
      <c r="K121" s="1">
        <v>2</v>
      </c>
      <c r="L121" s="1">
        <v>1</v>
      </c>
      <c r="N121" s="1">
        <v>2304</v>
      </c>
      <c r="O121" s="1">
        <v>6098</v>
      </c>
      <c r="P121" s="1">
        <v>3794</v>
      </c>
      <c r="Q121" s="1" t="s">
        <v>42</v>
      </c>
      <c r="S121" s="1" t="s">
        <v>42</v>
      </c>
      <c r="T121" s="1" t="s">
        <v>48</v>
      </c>
      <c r="U121" s="1">
        <v>79</v>
      </c>
      <c r="V121" s="5">
        <v>44427</v>
      </c>
      <c r="W121" s="5">
        <v>44348</v>
      </c>
      <c r="X121" s="1">
        <v>4895000</v>
      </c>
      <c r="AB121" s="1" t="s">
        <v>44</v>
      </c>
      <c r="AD121" s="1" t="s">
        <v>124</v>
      </c>
      <c r="AE121" s="1" t="s">
        <v>64</v>
      </c>
      <c r="AF121" s="1">
        <v>10024</v>
      </c>
      <c r="AI121" s="1" t="s">
        <v>67</v>
      </c>
      <c r="AJ121" s="1">
        <v>1908</v>
      </c>
      <c r="AK121" s="1" t="s">
        <v>81</v>
      </c>
      <c r="AL121" s="1">
        <v>213</v>
      </c>
    </row>
    <row r="122" spans="1:38" x14ac:dyDescent="0.2">
      <c r="A122" s="2" t="str">
        <f>HYPERLINK("https://www.compass.com/listing/269-west-87th-street-unit-4b-manhattan-ny-10024/803319850562747449/","269 W 87th St, Unit 4B")</f>
        <v>269 W 87th St, Unit 4B</v>
      </c>
      <c r="B122" s="2" t="str">
        <f>HYPERLINK("https://www.compass.com/building/west-end-and-eighty-seven-manhattan-ny/282058755477110005/","West End and Eighty Seven")</f>
        <v>West End and Eighty Seven</v>
      </c>
      <c r="C122" s="1" t="s">
        <v>47</v>
      </c>
      <c r="D122" s="1" t="s">
        <v>41</v>
      </c>
      <c r="E122" s="3">
        <v>2543000</v>
      </c>
      <c r="F122" s="1">
        <v>1159.59872321021</v>
      </c>
      <c r="G122" s="1">
        <v>6</v>
      </c>
      <c r="H122" s="1">
        <v>3</v>
      </c>
      <c r="I122" s="1">
        <v>4</v>
      </c>
      <c r="J122" s="1">
        <v>3.5</v>
      </c>
      <c r="K122" s="1">
        <v>3</v>
      </c>
      <c r="L122" s="1">
        <v>1</v>
      </c>
      <c r="M122" s="4">
        <v>2193</v>
      </c>
      <c r="N122" s="1">
        <v>11811</v>
      </c>
      <c r="O122" s="1">
        <v>11811</v>
      </c>
      <c r="Q122" s="1" t="s">
        <v>109</v>
      </c>
      <c r="S122" s="1" t="s">
        <v>109</v>
      </c>
      <c r="T122" s="1" t="s">
        <v>48</v>
      </c>
      <c r="U122" s="1">
        <v>61</v>
      </c>
      <c r="V122" s="5">
        <v>44426</v>
      </c>
      <c r="W122" s="5">
        <v>44366</v>
      </c>
      <c r="X122" s="1">
        <v>2543000</v>
      </c>
      <c r="AB122" s="1" t="s">
        <v>44</v>
      </c>
      <c r="AD122" s="1" t="s">
        <v>110</v>
      </c>
      <c r="AE122" s="1" t="s">
        <v>111</v>
      </c>
      <c r="AF122" s="1">
        <v>10024</v>
      </c>
      <c r="AI122" s="1" t="s">
        <v>67</v>
      </c>
      <c r="AJ122" s="1">
        <v>2018</v>
      </c>
      <c r="AK122" s="1" t="s">
        <v>81</v>
      </c>
      <c r="AL122" s="1">
        <v>39</v>
      </c>
    </row>
    <row r="123" spans="1:38" x14ac:dyDescent="0.2">
      <c r="A123" s="2" t="str">
        <f>HYPERLINK("https://www.compass.com/listing/212-west-95th-street-unit-15a-manhattan-ny-10025/698165172851483225/","212 W 95th St, Unit 15A")</f>
        <v>212 W 95th St, Unit 15A</v>
      </c>
      <c r="B123" s="2" t="str">
        <f>HYPERLINK("https://www.compass.com/building/dahlia-manhattan-ny/282058919214351605/","Dahlia")</f>
        <v>Dahlia</v>
      </c>
      <c r="C123" s="1" t="s">
        <v>47</v>
      </c>
      <c r="D123" s="1" t="s">
        <v>41</v>
      </c>
      <c r="E123" s="3">
        <v>3750000</v>
      </c>
      <c r="F123" s="1">
        <v>2299.2029429797599</v>
      </c>
      <c r="G123" s="1">
        <v>5</v>
      </c>
      <c r="H123" s="1">
        <v>3</v>
      </c>
      <c r="I123" s="1">
        <v>3</v>
      </c>
      <c r="J123" s="1">
        <v>3</v>
      </c>
      <c r="K123" s="1">
        <v>3</v>
      </c>
      <c r="M123" s="4">
        <v>1631</v>
      </c>
      <c r="N123" s="1">
        <v>2162</v>
      </c>
      <c r="O123" s="1">
        <v>6464.31</v>
      </c>
      <c r="P123" s="1">
        <v>4302.3333333333303</v>
      </c>
      <c r="Q123" s="1" t="s">
        <v>42</v>
      </c>
      <c r="S123" s="1" t="s">
        <v>42</v>
      </c>
      <c r="T123" s="1" t="s">
        <v>48</v>
      </c>
      <c r="U123" s="1">
        <v>213</v>
      </c>
      <c r="V123" s="5">
        <v>44409</v>
      </c>
      <c r="W123" s="5">
        <v>44214</v>
      </c>
      <c r="X123" s="1">
        <v>3750000</v>
      </c>
      <c r="AB123" s="1" t="s">
        <v>44</v>
      </c>
      <c r="AF123" s="1">
        <v>10025</v>
      </c>
      <c r="AI123" s="1" t="s">
        <v>125</v>
      </c>
      <c r="AJ123" s="1">
        <v>2019</v>
      </c>
      <c r="AK123" s="1" t="s">
        <v>87</v>
      </c>
      <c r="AL123" s="1">
        <v>38</v>
      </c>
    </row>
    <row r="124" spans="1:38" x14ac:dyDescent="0.2">
      <c r="A124" s="2" t="str">
        <f>HYPERLINK("https://www.compass.com/listing/225-west-86th-street-unit-412-manhattan-ny-10024/318440231858545217/","225 W 86th St, Unit 412")</f>
        <v>225 W 86th St, Unit 412</v>
      </c>
      <c r="B124" s="2" t="str">
        <f t="shared" ref="B124:B125" si="18">HYPERLINK("https://www.compass.com/building/the-belnord-manhattan-ny/292869672083214101/","The Belnord")</f>
        <v>The Belnord</v>
      </c>
      <c r="C124" s="1" t="s">
        <v>47</v>
      </c>
      <c r="D124" s="1" t="s">
        <v>41</v>
      </c>
      <c r="E124" s="3">
        <v>4000000</v>
      </c>
      <c r="F124" s="1">
        <v>2484.4720496894402</v>
      </c>
      <c r="G124" s="1">
        <v>4</v>
      </c>
      <c r="H124" s="1">
        <v>2</v>
      </c>
      <c r="I124" s="1">
        <v>3</v>
      </c>
      <c r="J124" s="1">
        <v>2.5</v>
      </c>
      <c r="K124" s="1">
        <v>2</v>
      </c>
      <c r="L124" s="1">
        <v>1</v>
      </c>
      <c r="M124" s="4">
        <v>1610</v>
      </c>
      <c r="N124" s="1">
        <v>1393</v>
      </c>
      <c r="O124" s="1">
        <v>3916</v>
      </c>
      <c r="P124" s="1">
        <v>2523</v>
      </c>
      <c r="Q124" s="1" t="s">
        <v>42</v>
      </c>
      <c r="S124" s="1" t="s">
        <v>42</v>
      </c>
      <c r="T124" s="1" t="s">
        <v>48</v>
      </c>
      <c r="U124" s="1">
        <v>643</v>
      </c>
      <c r="V124" s="5">
        <v>44427</v>
      </c>
      <c r="W124" s="5">
        <v>43690</v>
      </c>
      <c r="X124" s="1">
        <v>4000000</v>
      </c>
      <c r="AB124" s="1" t="s">
        <v>44</v>
      </c>
      <c r="AD124" s="1" t="s">
        <v>85</v>
      </c>
      <c r="AE124" s="1" t="s">
        <v>64</v>
      </c>
      <c r="AF124" s="1">
        <v>10024</v>
      </c>
      <c r="AI124" s="1" t="s">
        <v>67</v>
      </c>
      <c r="AJ124" s="1">
        <v>1908</v>
      </c>
      <c r="AK124" s="1" t="s">
        <v>81</v>
      </c>
      <c r="AL124" s="1">
        <v>213</v>
      </c>
    </row>
    <row r="125" spans="1:38" x14ac:dyDescent="0.2">
      <c r="A125" s="2" t="str">
        <f>HYPERLINK("https://www.compass.com/listing/225-west-86th-street-unit-1009-manhattan-ny-10024/786142160352276929/","225 W 86th St, Unit 1009")</f>
        <v>225 W 86th St, Unit 1009</v>
      </c>
      <c r="B125" s="2" t="str">
        <f t="shared" si="18"/>
        <v>The Belnord</v>
      </c>
      <c r="C125" s="1" t="s">
        <v>47</v>
      </c>
      <c r="D125" s="1" t="s">
        <v>41</v>
      </c>
      <c r="E125" s="3">
        <v>5995000</v>
      </c>
      <c r="F125" s="1">
        <v>2763.9465191332401</v>
      </c>
      <c r="G125" s="1">
        <v>5.5</v>
      </c>
      <c r="H125" s="1">
        <v>3</v>
      </c>
      <c r="I125" s="1">
        <v>3</v>
      </c>
      <c r="J125" s="1">
        <v>2.5</v>
      </c>
      <c r="K125" s="1">
        <v>2</v>
      </c>
      <c r="L125" s="1">
        <v>1</v>
      </c>
      <c r="M125" s="4">
        <v>2169</v>
      </c>
      <c r="N125" s="1">
        <v>1876</v>
      </c>
      <c r="O125" s="1">
        <v>5359</v>
      </c>
      <c r="P125" s="1">
        <v>3483</v>
      </c>
      <c r="Q125" s="1" t="s">
        <v>42</v>
      </c>
      <c r="S125" s="1" t="s">
        <v>42</v>
      </c>
      <c r="T125" s="1" t="s">
        <v>48</v>
      </c>
      <c r="U125" s="1">
        <v>91</v>
      </c>
      <c r="V125" s="5">
        <v>44427</v>
      </c>
      <c r="W125" s="5">
        <v>44336</v>
      </c>
      <c r="X125" s="1">
        <v>6450000</v>
      </c>
      <c r="AB125" s="1" t="s">
        <v>44</v>
      </c>
      <c r="AF125" s="1">
        <v>10024</v>
      </c>
      <c r="AI125" s="1" t="s">
        <v>67</v>
      </c>
      <c r="AJ125" s="1">
        <v>1908</v>
      </c>
      <c r="AK125" s="1" t="s">
        <v>81</v>
      </c>
      <c r="AL125" s="1">
        <v>213</v>
      </c>
    </row>
    <row r="126" spans="1:38" x14ac:dyDescent="0.2">
      <c r="A126" s="2" t="str">
        <f>HYPERLINK("https://www.compass.com/listing/212-west-95th-street-unit-8c-manhattan-ny-10025/279637628691790865/","212 W 95th St, Unit 8C")</f>
        <v>212 W 95th St, Unit 8C</v>
      </c>
      <c r="B126" s="2" t="str">
        <f t="shared" ref="B126:B127" si="19">HYPERLINK("https://www.compass.com/building/dahlia-manhattan-ny/282058919214351605/","Dahlia")</f>
        <v>Dahlia</v>
      </c>
      <c r="C126" s="1" t="s">
        <v>47</v>
      </c>
      <c r="D126" s="1" t="s">
        <v>41</v>
      </c>
      <c r="E126" s="3">
        <v>4645000</v>
      </c>
      <c r="F126" s="1">
        <v>2172.5912067352601</v>
      </c>
      <c r="G126" s="1">
        <v>6</v>
      </c>
      <c r="H126" s="1">
        <v>4</v>
      </c>
      <c r="I126" s="1">
        <v>4</v>
      </c>
      <c r="J126" s="1">
        <v>3.5</v>
      </c>
      <c r="K126" s="1">
        <v>3</v>
      </c>
      <c r="L126" s="1">
        <v>1</v>
      </c>
      <c r="M126" s="4">
        <v>2138</v>
      </c>
      <c r="N126" s="1">
        <v>2081</v>
      </c>
      <c r="O126" s="1">
        <v>6222</v>
      </c>
      <c r="P126" s="1">
        <v>4141</v>
      </c>
      <c r="Q126" s="1" t="s">
        <v>42</v>
      </c>
      <c r="S126" s="1" t="s">
        <v>42</v>
      </c>
      <c r="T126" s="1" t="s">
        <v>48</v>
      </c>
      <c r="U126" s="1">
        <v>378</v>
      </c>
      <c r="V126" s="5">
        <v>44409</v>
      </c>
      <c r="W126" s="5">
        <v>44049</v>
      </c>
      <c r="AB126" s="1" t="s">
        <v>44</v>
      </c>
      <c r="AF126" s="1">
        <v>10025</v>
      </c>
      <c r="AI126" s="1" t="s">
        <v>52</v>
      </c>
      <c r="AJ126" s="1">
        <v>2019</v>
      </c>
      <c r="AK126" s="1" t="s">
        <v>87</v>
      </c>
      <c r="AL126" s="1">
        <v>38</v>
      </c>
    </row>
    <row r="127" spans="1:38" x14ac:dyDescent="0.2">
      <c r="A127" s="2" t="str">
        <f>HYPERLINK("https://www.compass.com/listing/212-west-95th-street-unit-pha-manhattan-ny-10025/698173797372453497/","212 W 95th St, Unit PHA")</f>
        <v>212 W 95th St, Unit PHA</v>
      </c>
      <c r="B127" s="2" t="str">
        <f t="shared" si="19"/>
        <v>Dahlia</v>
      </c>
      <c r="C127" s="1" t="s">
        <v>47</v>
      </c>
      <c r="D127" s="1" t="s">
        <v>41</v>
      </c>
      <c r="E127" s="3">
        <v>6250000</v>
      </c>
      <c r="F127" s="1">
        <v>2685.8616244091099</v>
      </c>
      <c r="G127" s="1">
        <v>7</v>
      </c>
      <c r="H127" s="1">
        <v>4</v>
      </c>
      <c r="I127" s="1">
        <v>5</v>
      </c>
      <c r="J127" s="1">
        <v>4.5</v>
      </c>
      <c r="K127" s="1">
        <v>4</v>
      </c>
      <c r="L127" s="1">
        <v>1</v>
      </c>
      <c r="M127" s="4">
        <v>2327</v>
      </c>
      <c r="N127" s="1">
        <v>3360</v>
      </c>
      <c r="O127" s="1">
        <v>10046</v>
      </c>
      <c r="P127" s="1">
        <v>6686</v>
      </c>
      <c r="Q127" s="1" t="s">
        <v>42</v>
      </c>
      <c r="S127" s="1" t="s">
        <v>42</v>
      </c>
      <c r="T127" s="1" t="s">
        <v>48</v>
      </c>
      <c r="U127" s="1">
        <v>213</v>
      </c>
      <c r="V127" s="5">
        <v>44409</v>
      </c>
      <c r="W127" s="5">
        <v>44214</v>
      </c>
      <c r="X127" s="1">
        <v>6250000</v>
      </c>
      <c r="AB127" s="1" t="s">
        <v>44</v>
      </c>
      <c r="AF127" s="1">
        <v>10025</v>
      </c>
      <c r="AI127" s="1" t="s">
        <v>126</v>
      </c>
      <c r="AJ127" s="1">
        <v>2019</v>
      </c>
      <c r="AK127" s="1" t="s">
        <v>87</v>
      </c>
      <c r="AL127" s="1">
        <v>38</v>
      </c>
    </row>
    <row r="128" spans="1:38" x14ac:dyDescent="0.2">
      <c r="A128" s="2" t="str">
        <f>HYPERLINK("https://www.compass.com/listing/269-west-87th-street-unit-4a-manhattan-ny-10024/807195037034304209/","269 W 87th St, Unit 4A")</f>
        <v>269 W 87th St, Unit 4A</v>
      </c>
      <c r="B128" s="2" t="str">
        <f>HYPERLINK("https://www.compass.com/building/west-end-and-eighty-seven-manhattan-ny/282058755477110005/","West End and Eighty Seven")</f>
        <v>West End and Eighty Seven</v>
      </c>
      <c r="C128" s="1" t="s">
        <v>47</v>
      </c>
      <c r="D128" s="1" t="s">
        <v>41</v>
      </c>
      <c r="E128" s="3">
        <v>3189000</v>
      </c>
      <c r="F128" s="1">
        <v>2170.86453369639</v>
      </c>
      <c r="G128" s="1">
        <v>6</v>
      </c>
      <c r="H128" s="1">
        <v>4</v>
      </c>
      <c r="I128" s="1">
        <v>5</v>
      </c>
      <c r="J128" s="1">
        <v>4.5</v>
      </c>
      <c r="K128" s="1">
        <v>4</v>
      </c>
      <c r="L128" s="1">
        <v>1</v>
      </c>
      <c r="M128" s="4">
        <v>1469</v>
      </c>
      <c r="N128" s="1">
        <v>7383</v>
      </c>
      <c r="O128" s="1">
        <v>7384</v>
      </c>
      <c r="P128" s="1">
        <v>1</v>
      </c>
      <c r="Q128" s="1" t="s">
        <v>109</v>
      </c>
      <c r="S128" s="1" t="s">
        <v>109</v>
      </c>
      <c r="T128" s="1" t="s">
        <v>48</v>
      </c>
      <c r="U128" s="1">
        <v>62</v>
      </c>
      <c r="V128" s="5">
        <v>44426</v>
      </c>
      <c r="W128" s="5">
        <v>44365</v>
      </c>
      <c r="X128" s="1">
        <v>3189000</v>
      </c>
      <c r="AB128" s="1" t="s">
        <v>44</v>
      </c>
      <c r="AD128" s="1" t="s">
        <v>110</v>
      </c>
      <c r="AE128" s="1" t="s">
        <v>111</v>
      </c>
      <c r="AF128" s="1">
        <v>10024</v>
      </c>
      <c r="AI128" s="1" t="s">
        <v>67</v>
      </c>
      <c r="AJ128" s="1">
        <v>2018</v>
      </c>
      <c r="AK128" s="1" t="s">
        <v>81</v>
      </c>
      <c r="AL128" s="1">
        <v>39</v>
      </c>
    </row>
    <row r="129" spans="1:38" x14ac:dyDescent="0.2">
      <c r="A129" s="2" t="str">
        <f>HYPERLINK("https://www.compass.com/listing/260-bowery-unit-5-manhattan-ny-10012/629208958714327321/","260 Bowery, Unit 5")</f>
        <v>260 Bowery, Unit 5</v>
      </c>
      <c r="B129" s="2" t="str">
        <f>HYPERLINK("https://www.compass.com/building/260-bowery-manhattan-ny-10012/307438183939486949/","260 Bowery")</f>
        <v>260 Bowery</v>
      </c>
      <c r="C129" s="1" t="s">
        <v>118</v>
      </c>
      <c r="D129" s="1" t="s">
        <v>41</v>
      </c>
      <c r="E129" s="3">
        <v>4250000</v>
      </c>
      <c r="F129" s="1">
        <v>2101.8793273986098</v>
      </c>
      <c r="G129" s="1">
        <v>5</v>
      </c>
      <c r="H129" s="1">
        <v>3</v>
      </c>
      <c r="I129" s="1">
        <v>3</v>
      </c>
      <c r="J129" s="1">
        <v>2.5</v>
      </c>
      <c r="K129" s="1">
        <v>2</v>
      </c>
      <c r="L129" s="1">
        <v>1</v>
      </c>
      <c r="M129" s="4">
        <v>2022</v>
      </c>
      <c r="N129" s="1">
        <v>1733</v>
      </c>
      <c r="O129" s="1">
        <v>4677</v>
      </c>
      <c r="P129" s="1">
        <v>2944</v>
      </c>
      <c r="Q129" s="1" t="s">
        <v>42</v>
      </c>
      <c r="S129" s="1" t="s">
        <v>42</v>
      </c>
      <c r="T129" s="1" t="s">
        <v>48</v>
      </c>
      <c r="U129" s="1">
        <v>2</v>
      </c>
      <c r="V129" s="5">
        <v>44425</v>
      </c>
      <c r="W129" s="5">
        <v>44119</v>
      </c>
      <c r="X129" s="1">
        <v>4850000</v>
      </c>
      <c r="AB129" s="1" t="s">
        <v>44</v>
      </c>
      <c r="AF129" s="1">
        <v>10012</v>
      </c>
      <c r="AI129" s="1" t="s">
        <v>127</v>
      </c>
      <c r="AJ129" s="1">
        <v>2019</v>
      </c>
    </row>
    <row r="130" spans="1:38" x14ac:dyDescent="0.2">
      <c r="A130" s="2" t="str">
        <f>HYPERLINK("https://www.compass.com/listing/40-east-end-avenue-unit-5-6cb-manhattan-ny-10028/831778777103263497/","40 E End Ave, Unit 5/6CB")</f>
        <v>40 E End Ave, Unit 5/6CB</v>
      </c>
      <c r="B130" s="2" t="str">
        <f>HYPERLINK("https://www.compass.com/building/40-e-end-ave-manhattan-ny-10028/281986569399806037/","40 E End Ave")</f>
        <v>40 E End Ave</v>
      </c>
      <c r="C130" s="1" t="s">
        <v>53</v>
      </c>
      <c r="D130" s="1" t="s">
        <v>41</v>
      </c>
      <c r="E130" s="3">
        <v>15000000</v>
      </c>
      <c r="F130" s="1">
        <v>2885.17022504327</v>
      </c>
      <c r="G130" s="1">
        <v>10.5</v>
      </c>
      <c r="H130" s="1">
        <v>6</v>
      </c>
      <c r="I130" s="1">
        <v>6</v>
      </c>
      <c r="J130" s="1">
        <v>5.5</v>
      </c>
      <c r="K130" s="1">
        <v>5</v>
      </c>
      <c r="L130" s="1">
        <v>1</v>
      </c>
      <c r="M130" s="4">
        <v>5199</v>
      </c>
      <c r="N130" s="1">
        <v>5243</v>
      </c>
      <c r="O130" s="1">
        <v>13833</v>
      </c>
      <c r="P130" s="1">
        <v>8590</v>
      </c>
      <c r="Q130" s="1" t="s">
        <v>42</v>
      </c>
      <c r="S130" s="1" t="s">
        <v>42</v>
      </c>
      <c r="T130" s="1" t="s">
        <v>48</v>
      </c>
      <c r="U130" s="1">
        <v>28</v>
      </c>
      <c r="V130" s="5">
        <v>44427</v>
      </c>
      <c r="W130" s="5">
        <v>44399</v>
      </c>
      <c r="X130" s="1">
        <v>15000000</v>
      </c>
      <c r="AB130" s="1" t="s">
        <v>44</v>
      </c>
      <c r="AF130" s="1">
        <v>10028</v>
      </c>
      <c r="AI130" s="1" t="s">
        <v>128</v>
      </c>
      <c r="AJ130" s="1">
        <v>2019</v>
      </c>
      <c r="AK130" s="1" t="s">
        <v>129</v>
      </c>
      <c r="AL130" s="1">
        <v>29</v>
      </c>
    </row>
    <row r="131" spans="1:38" x14ac:dyDescent="0.2">
      <c r="A131" s="2" t="str">
        <f>HYPERLINK("https://www.compass.com/listing/225-west-86th-street-unit-410-manhattan-ny-10024/259339043421078161/","225 W 86th St, Unit 410")</f>
        <v>225 W 86th St, Unit 410</v>
      </c>
      <c r="B131" s="2" t="str">
        <f>HYPERLINK("https://www.compass.com/building/the-belnord-manhattan-ny/292869672083214101/","The Belnord")</f>
        <v>The Belnord</v>
      </c>
      <c r="C131" s="1" t="s">
        <v>47</v>
      </c>
      <c r="D131" s="1" t="s">
        <v>41</v>
      </c>
      <c r="E131" s="3">
        <v>5900000</v>
      </c>
      <c r="F131" s="1">
        <v>2413.0879345603198</v>
      </c>
      <c r="G131" s="1">
        <v>6</v>
      </c>
      <c r="H131" s="1">
        <v>3</v>
      </c>
      <c r="I131" s="1">
        <v>4</v>
      </c>
      <c r="J131" s="1">
        <v>3.5</v>
      </c>
      <c r="K131" s="1">
        <v>3</v>
      </c>
      <c r="L131" s="1">
        <v>1</v>
      </c>
      <c r="M131" s="4">
        <v>2445</v>
      </c>
      <c r="N131" s="1">
        <v>2115</v>
      </c>
      <c r="O131" s="1">
        <v>5946</v>
      </c>
      <c r="P131" s="1">
        <v>3831</v>
      </c>
      <c r="Q131" s="1" t="s">
        <v>42</v>
      </c>
      <c r="S131" s="1" t="s">
        <v>42</v>
      </c>
      <c r="T131" s="1" t="s">
        <v>48</v>
      </c>
      <c r="U131" s="1">
        <v>724</v>
      </c>
      <c r="V131" s="5">
        <v>44427</v>
      </c>
      <c r="W131" s="5">
        <v>43609</v>
      </c>
      <c r="X131" s="1">
        <v>5800000</v>
      </c>
      <c r="AB131" s="1" t="s">
        <v>44</v>
      </c>
      <c r="AD131" s="1" t="s">
        <v>85</v>
      </c>
      <c r="AE131" s="1" t="s">
        <v>64</v>
      </c>
      <c r="AF131" s="1">
        <v>10024</v>
      </c>
      <c r="AI131" s="1" t="s">
        <v>67</v>
      </c>
      <c r="AJ131" s="1">
        <v>1908</v>
      </c>
      <c r="AK131" s="1" t="s">
        <v>81</v>
      </c>
      <c r="AL131" s="1">
        <v>213</v>
      </c>
    </row>
    <row r="132" spans="1:38" x14ac:dyDescent="0.2">
      <c r="A132" s="2" t="str">
        <f>HYPERLINK("https://www.compass.com/listing/260-bowery-unit-ph-manhattan-ny-10012/471008444305513801/","260 Bowery, Unit PH")</f>
        <v>260 Bowery, Unit PH</v>
      </c>
      <c r="B132" s="2" t="str">
        <f>HYPERLINK("https://www.compass.com/building/260-bowery-manhattan-ny-10012/307438183939486949/","260 Bowery")</f>
        <v>260 Bowery</v>
      </c>
      <c r="C132" s="1" t="s">
        <v>118</v>
      </c>
      <c r="D132" s="1" t="s">
        <v>41</v>
      </c>
      <c r="E132" s="3">
        <v>10950000</v>
      </c>
      <c r="F132" s="1">
        <v>2638.5542168674601</v>
      </c>
      <c r="G132" s="1">
        <v>11</v>
      </c>
      <c r="H132" s="1">
        <v>4</v>
      </c>
      <c r="I132" s="1">
        <v>4</v>
      </c>
      <c r="J132" s="1">
        <v>4</v>
      </c>
      <c r="K132" s="1">
        <v>4</v>
      </c>
      <c r="M132" s="4">
        <v>4150</v>
      </c>
      <c r="N132" s="1">
        <v>4244</v>
      </c>
      <c r="O132" s="1">
        <v>11454</v>
      </c>
      <c r="P132" s="1">
        <v>7210</v>
      </c>
      <c r="Q132" s="1" t="s">
        <v>42</v>
      </c>
      <c r="S132" s="1" t="s">
        <v>42</v>
      </c>
      <c r="T132" s="1" t="s">
        <v>48</v>
      </c>
      <c r="U132" s="1">
        <v>189</v>
      </c>
      <c r="V132" s="5">
        <v>44406</v>
      </c>
      <c r="W132" s="5">
        <v>44202</v>
      </c>
      <c r="X132" s="1">
        <v>9950000</v>
      </c>
      <c r="AB132" s="1" t="s">
        <v>44</v>
      </c>
      <c r="AF132" s="1">
        <v>10012</v>
      </c>
      <c r="AI132" s="1" t="s">
        <v>130</v>
      </c>
      <c r="AJ132" s="1">
        <v>2019</v>
      </c>
      <c r="AK132" s="1" t="s">
        <v>61</v>
      </c>
    </row>
    <row r="133" spans="1:38" x14ac:dyDescent="0.2">
      <c r="A133" s="2" t="str">
        <f>HYPERLINK("https://www.compass.com/listing/375-west-123rd-street-unit-6c-manhattan-ny-10027/839840130150013977/","375 W 123rd St, Unit 6C")</f>
        <v>375 W 123rd St, Unit 6C</v>
      </c>
      <c r="B133" s="2" t="str">
        <f>HYPERLINK("https://www.compass.com/building/99-morningside-manhattan-ny/281983676789660549/","99 Morningside")</f>
        <v>99 Morningside</v>
      </c>
      <c r="C133" s="1" t="s">
        <v>131</v>
      </c>
      <c r="D133" s="1" t="s">
        <v>41</v>
      </c>
      <c r="E133" s="3">
        <v>1525000</v>
      </c>
      <c r="F133" s="1">
        <v>1199.84264358772</v>
      </c>
      <c r="G133" s="1">
        <v>4</v>
      </c>
      <c r="H133" s="1">
        <v>2</v>
      </c>
      <c r="I133" s="1">
        <v>2</v>
      </c>
      <c r="J133" s="1">
        <v>2</v>
      </c>
      <c r="K133" s="1">
        <v>2</v>
      </c>
      <c r="M133" s="4">
        <v>1271</v>
      </c>
      <c r="N133" s="1">
        <v>1163</v>
      </c>
      <c r="O133" s="1">
        <v>1983</v>
      </c>
      <c r="P133" s="1">
        <v>820</v>
      </c>
      <c r="Q133" s="1" t="s">
        <v>42</v>
      </c>
      <c r="S133" s="1" t="s">
        <v>42</v>
      </c>
      <c r="T133" s="1" t="s">
        <v>48</v>
      </c>
      <c r="U133" s="1">
        <v>17</v>
      </c>
      <c r="V133" s="5">
        <v>44421</v>
      </c>
      <c r="W133" s="5">
        <v>44410</v>
      </c>
      <c r="X133" s="1">
        <v>1525000</v>
      </c>
      <c r="AB133" s="1" t="s">
        <v>44</v>
      </c>
      <c r="AF133" s="1">
        <v>10027</v>
      </c>
      <c r="AI133" s="1" t="s">
        <v>132</v>
      </c>
      <c r="AJ133" s="1">
        <v>2016</v>
      </c>
      <c r="AK133" s="1" t="s">
        <v>133</v>
      </c>
      <c r="AL133" s="1">
        <v>22</v>
      </c>
    </row>
    <row r="134" spans="1:38" x14ac:dyDescent="0.2">
      <c r="A134" s="2" t="str">
        <f>HYPERLINK("https://www.compass.com/listing/225-west-86th-street-unit-1103-manhattan-ny-10024/29508818517910689/","225 W 86th St, Unit 1103")</f>
        <v>225 W 86th St, Unit 1103</v>
      </c>
      <c r="B134" s="2" t="str">
        <f>HYPERLINK("https://www.compass.com/building/the-belnord-manhattan-ny/292869672083214101/","The Belnord")</f>
        <v>The Belnord</v>
      </c>
      <c r="C134" s="1" t="s">
        <v>47</v>
      </c>
      <c r="D134" s="1" t="s">
        <v>41</v>
      </c>
      <c r="E134" s="3">
        <v>7995000</v>
      </c>
      <c r="F134" s="1">
        <v>2547.8011472275298</v>
      </c>
      <c r="G134" s="1">
        <v>9</v>
      </c>
      <c r="H134" s="1">
        <v>4</v>
      </c>
      <c r="I134" s="1">
        <v>5</v>
      </c>
      <c r="J134" s="1">
        <v>4.5</v>
      </c>
      <c r="K134" s="1">
        <v>4</v>
      </c>
      <c r="L134" s="1">
        <v>1</v>
      </c>
      <c r="M134" s="4">
        <v>3138</v>
      </c>
      <c r="N134" s="1">
        <v>2714</v>
      </c>
      <c r="O134" s="1">
        <v>7845</v>
      </c>
      <c r="P134" s="1">
        <v>5131</v>
      </c>
      <c r="Q134" s="1" t="s">
        <v>42</v>
      </c>
      <c r="S134" s="1" t="s">
        <v>42</v>
      </c>
      <c r="T134" s="1" t="s">
        <v>48</v>
      </c>
      <c r="U134" s="1">
        <v>1054</v>
      </c>
      <c r="V134" s="5">
        <v>44426</v>
      </c>
      <c r="W134" s="5">
        <v>43279</v>
      </c>
      <c r="X134" s="1">
        <v>8850000</v>
      </c>
      <c r="AB134" s="1" t="s">
        <v>44</v>
      </c>
      <c r="AF134" s="1">
        <v>10024</v>
      </c>
      <c r="AI134" s="1" t="s">
        <v>67</v>
      </c>
      <c r="AJ134" s="1">
        <v>1908</v>
      </c>
      <c r="AK134" s="1" t="s">
        <v>81</v>
      </c>
      <c r="AL134" s="1">
        <v>213</v>
      </c>
    </row>
    <row r="135" spans="1:38" x14ac:dyDescent="0.2">
      <c r="A135" s="2" t="str">
        <f>HYPERLINK("https://www.compass.com/listing/50-west-30th-street-unit-6b-manhattan-ny-10001/827415044192459425/","50 W 30th St, Unit 6B")</f>
        <v>50 W 30th St, Unit 6B</v>
      </c>
      <c r="B135" s="2" t="str">
        <f>HYPERLINK("https://www.compass.com/building/the-noma-manhattan-ny/282058879016139621/","The NOMA")</f>
        <v>The NOMA</v>
      </c>
      <c r="C135" s="1" t="s">
        <v>95</v>
      </c>
      <c r="D135" s="1" t="s">
        <v>41</v>
      </c>
      <c r="E135" s="3">
        <v>1495000</v>
      </c>
      <c r="F135" s="1">
        <v>2147.9885057471201</v>
      </c>
      <c r="G135" s="1">
        <v>3</v>
      </c>
      <c r="H135" s="1">
        <v>1</v>
      </c>
      <c r="I135" s="1">
        <v>1</v>
      </c>
      <c r="J135" s="1">
        <v>1</v>
      </c>
      <c r="K135" s="1">
        <v>1</v>
      </c>
      <c r="M135" s="1">
        <v>696</v>
      </c>
      <c r="N135" s="1">
        <v>854</v>
      </c>
      <c r="O135" s="1">
        <v>1608</v>
      </c>
      <c r="P135" s="1">
        <v>754</v>
      </c>
      <c r="Q135" s="1" t="s">
        <v>42</v>
      </c>
      <c r="S135" s="1" t="s">
        <v>42</v>
      </c>
      <c r="T135" s="1" t="s">
        <v>48</v>
      </c>
      <c r="U135" s="1">
        <v>34</v>
      </c>
      <c r="V135" s="5">
        <v>44427</v>
      </c>
      <c r="W135" s="5">
        <v>44393</v>
      </c>
      <c r="X135" s="1">
        <v>1495000</v>
      </c>
      <c r="AB135" s="1" t="s">
        <v>44</v>
      </c>
      <c r="AF135" s="1">
        <v>10001</v>
      </c>
      <c r="AI135" s="1" t="s">
        <v>45</v>
      </c>
      <c r="AJ135" s="1">
        <v>2017</v>
      </c>
      <c r="AK135" s="1" t="s">
        <v>55</v>
      </c>
      <c r="AL135" s="1">
        <v>55</v>
      </c>
    </row>
    <row r="136" spans="1:38" x14ac:dyDescent="0.2">
      <c r="A136" s="2" t="str">
        <f>HYPERLINK("https://www.compass.com/listing/225-west-86th-street-unit-908-manhattan-ny-10024/461756873088215721/","225 W 86th St, Unit 908")</f>
        <v>225 W 86th St, Unit 908</v>
      </c>
      <c r="B136" s="2" t="str">
        <f>HYPERLINK("https://www.compass.com/building/the-belnord-manhattan-ny/292869672083214101/","The Belnord")</f>
        <v>The Belnord</v>
      </c>
      <c r="C136" s="1" t="s">
        <v>47</v>
      </c>
      <c r="D136" s="1" t="s">
        <v>41</v>
      </c>
      <c r="E136" s="3">
        <v>5800000</v>
      </c>
      <c r="F136" s="1">
        <v>2568.64481842338</v>
      </c>
      <c r="G136" s="1">
        <v>7</v>
      </c>
      <c r="H136" s="1">
        <v>3</v>
      </c>
      <c r="I136" s="1">
        <v>4</v>
      </c>
      <c r="J136" s="1">
        <v>3.5</v>
      </c>
      <c r="K136" s="1">
        <v>3</v>
      </c>
      <c r="L136" s="1">
        <v>1</v>
      </c>
      <c r="M136" s="4">
        <v>2258</v>
      </c>
      <c r="N136" s="1">
        <v>1953</v>
      </c>
      <c r="O136" s="1">
        <v>5645</v>
      </c>
      <c r="P136" s="1">
        <v>3692</v>
      </c>
      <c r="Q136" s="1" t="s">
        <v>42</v>
      </c>
      <c r="S136" s="1" t="s">
        <v>42</v>
      </c>
      <c r="T136" s="1" t="s">
        <v>48</v>
      </c>
      <c r="U136" s="1">
        <v>445</v>
      </c>
      <c r="V136" s="5">
        <v>44426</v>
      </c>
      <c r="W136" s="5">
        <v>43888</v>
      </c>
      <c r="X136" s="1">
        <v>6400000</v>
      </c>
      <c r="AB136" s="1" t="s">
        <v>44</v>
      </c>
      <c r="AF136" s="1">
        <v>10024</v>
      </c>
      <c r="AI136" s="1" t="s">
        <v>67</v>
      </c>
      <c r="AJ136" s="1">
        <v>1908</v>
      </c>
      <c r="AK136" s="1" t="s">
        <v>81</v>
      </c>
      <c r="AL136" s="1">
        <v>213</v>
      </c>
    </row>
    <row r="137" spans="1:38" x14ac:dyDescent="0.2">
      <c r="A137" s="2" t="str">
        <f>HYPERLINK("https://www.compass.com/listing/320-east-82nd-street-unit-4-manhattan-ny-10028/821726918874575497/","320 E 82nd St, Unit 4")</f>
        <v>320 E 82nd St, Unit 4</v>
      </c>
      <c r="B137" s="2" t="str">
        <f>HYPERLINK("https://www.compass.com/building/the-park-mansion-manhattan-ny/281986214662348405/","The Park Mansion")</f>
        <v>The Park Mansion</v>
      </c>
      <c r="C137" s="1" t="s">
        <v>53</v>
      </c>
      <c r="D137" s="1" t="s">
        <v>41</v>
      </c>
      <c r="E137" s="3">
        <v>5950000</v>
      </c>
      <c r="F137" s="1">
        <v>2197.19350073855</v>
      </c>
      <c r="G137" s="1">
        <v>7</v>
      </c>
      <c r="H137" s="1">
        <v>4</v>
      </c>
      <c r="I137" s="1">
        <v>5</v>
      </c>
      <c r="J137" s="1">
        <v>4.5</v>
      </c>
      <c r="K137" s="1">
        <v>4</v>
      </c>
      <c r="L137" s="1">
        <v>1</v>
      </c>
      <c r="M137" s="4">
        <v>2708</v>
      </c>
      <c r="N137" s="1">
        <v>2815</v>
      </c>
      <c r="O137" s="1">
        <v>8105</v>
      </c>
      <c r="P137" s="1">
        <v>5290</v>
      </c>
      <c r="Q137" s="1" t="s">
        <v>42</v>
      </c>
      <c r="S137" s="1" t="s">
        <v>42</v>
      </c>
      <c r="T137" s="1" t="s">
        <v>48</v>
      </c>
      <c r="U137" s="1">
        <v>41</v>
      </c>
      <c r="V137" s="5">
        <v>44425</v>
      </c>
      <c r="W137" s="5">
        <v>44386</v>
      </c>
      <c r="X137" s="1">
        <v>5950000</v>
      </c>
      <c r="AB137" s="1" t="s">
        <v>44</v>
      </c>
      <c r="AF137" s="1">
        <v>10028</v>
      </c>
      <c r="AI137" s="1" t="s">
        <v>134</v>
      </c>
      <c r="AJ137" s="1">
        <v>1900</v>
      </c>
      <c r="AK137" s="1" t="s">
        <v>87</v>
      </c>
      <c r="AL137" s="1">
        <v>6</v>
      </c>
    </row>
    <row r="138" spans="1:38" x14ac:dyDescent="0.2">
      <c r="A138" s="2" t="str">
        <f>HYPERLINK("https://www.compass.com/listing/225-west-86th-street-unit-1012-manhattan-ny-10024/44043704662574897/","225 W 86th St, Unit 1012")</f>
        <v>225 W 86th St, Unit 1012</v>
      </c>
      <c r="B138" s="2" t="str">
        <f>HYPERLINK("https://www.compass.com/building/the-belnord-manhattan-ny/292869672083214101/","The Belnord")</f>
        <v>The Belnord</v>
      </c>
      <c r="C138" s="1" t="s">
        <v>47</v>
      </c>
      <c r="D138" s="1" t="s">
        <v>41</v>
      </c>
      <c r="E138" s="3">
        <v>11450000</v>
      </c>
      <c r="F138" s="1">
        <v>2899.4682198024798</v>
      </c>
      <c r="G138" s="1">
        <v>9</v>
      </c>
      <c r="H138" s="1">
        <v>5</v>
      </c>
      <c r="I138" s="1">
        <v>5</v>
      </c>
      <c r="J138" s="1">
        <v>4.5</v>
      </c>
      <c r="K138" s="1">
        <v>4</v>
      </c>
      <c r="L138" s="1">
        <v>1</v>
      </c>
      <c r="M138" s="4">
        <v>3949</v>
      </c>
      <c r="N138" s="1">
        <v>3415</v>
      </c>
      <c r="O138" s="1">
        <v>9755</v>
      </c>
      <c r="P138" s="1">
        <v>6340</v>
      </c>
      <c r="Q138" s="1" t="s">
        <v>42</v>
      </c>
      <c r="S138" s="1" t="s">
        <v>42</v>
      </c>
      <c r="T138" s="1" t="s">
        <v>48</v>
      </c>
      <c r="U138" s="1">
        <v>1021</v>
      </c>
      <c r="V138" s="5">
        <v>44427</v>
      </c>
      <c r="W138" s="5">
        <v>43312</v>
      </c>
      <c r="X138" s="1">
        <v>12575000</v>
      </c>
      <c r="AB138" s="1" t="s">
        <v>44</v>
      </c>
      <c r="AD138" s="1" t="s">
        <v>85</v>
      </c>
      <c r="AE138" s="1" t="s">
        <v>64</v>
      </c>
      <c r="AF138" s="1">
        <v>10024</v>
      </c>
      <c r="AI138" s="1" t="s">
        <v>67</v>
      </c>
      <c r="AJ138" s="1">
        <v>1908</v>
      </c>
      <c r="AK138" s="1" t="s">
        <v>81</v>
      </c>
      <c r="AL138" s="1">
        <v>213</v>
      </c>
    </row>
    <row r="139" spans="1:38" x14ac:dyDescent="0.2">
      <c r="A139" s="2" t="str">
        <f>HYPERLINK("https://www.compass.com/listing/301-west-53rd-street-unit-12j-manhattan-ny-10019/845606692270271481/","301 W 53rd St, Unit 12J")</f>
        <v>301 W 53rd St, Unit 12J</v>
      </c>
      <c r="B139" s="2" t="str">
        <f>HYPERLINK("https://www.compass.com/building/fifty-third-and-eighth-manhattan-ny/281944545158031557/","Fifty Third and Eighth")</f>
        <v>Fifty Third and Eighth</v>
      </c>
      <c r="C139" s="1" t="s">
        <v>57</v>
      </c>
      <c r="D139" s="1" t="s">
        <v>41</v>
      </c>
      <c r="E139" s="3">
        <v>1135000</v>
      </c>
      <c r="F139" s="1">
        <v>1674.0412979350999</v>
      </c>
      <c r="G139" s="1">
        <v>3</v>
      </c>
      <c r="H139" s="1">
        <v>1</v>
      </c>
      <c r="I139" s="1">
        <v>1</v>
      </c>
      <c r="J139" s="1">
        <v>1</v>
      </c>
      <c r="K139" s="1">
        <v>1</v>
      </c>
      <c r="M139" s="1">
        <v>678</v>
      </c>
      <c r="N139" s="1">
        <v>661</v>
      </c>
      <c r="O139" s="1">
        <v>1468</v>
      </c>
      <c r="P139" s="1">
        <v>807</v>
      </c>
      <c r="Q139" s="1" t="s">
        <v>42</v>
      </c>
      <c r="S139" s="1" t="s">
        <v>42</v>
      </c>
      <c r="T139" s="1" t="s">
        <v>48</v>
      </c>
      <c r="U139" s="1">
        <v>17</v>
      </c>
      <c r="V139" s="5">
        <v>44423</v>
      </c>
      <c r="W139" s="5">
        <v>44410</v>
      </c>
      <c r="X139" s="1">
        <v>1135000</v>
      </c>
      <c r="AB139" s="1" t="s">
        <v>44</v>
      </c>
      <c r="AF139" s="1">
        <v>10019</v>
      </c>
      <c r="AI139" s="1" t="s">
        <v>76</v>
      </c>
      <c r="AJ139" s="1">
        <v>2017</v>
      </c>
      <c r="AK139" s="1" t="s">
        <v>50</v>
      </c>
      <c r="AL139" s="1">
        <v>248</v>
      </c>
    </row>
    <row r="140" spans="1:38" x14ac:dyDescent="0.2">
      <c r="A140" s="2" t="str">
        <f>HYPERLINK("https://www.compass.com/listing/200-amsterdam-avenue-unit-3b-manhattan-ny-10023/815962743719114049/","200 Amsterdam Ave, Unit 3B")</f>
        <v>200 Amsterdam Ave, Unit 3B</v>
      </c>
      <c r="B140" s="2" t="str">
        <f>HYPERLINK("https://www.compass.com/building/200-amsterdam-manhattan-ny/344157234608153717/","200 Amsterdam")</f>
        <v>200 Amsterdam</v>
      </c>
      <c r="C140" s="1" t="s">
        <v>47</v>
      </c>
      <c r="D140" s="1" t="s">
        <v>41</v>
      </c>
      <c r="E140" s="3">
        <v>2625000</v>
      </c>
      <c r="F140" s="1">
        <v>2002.2883295194499</v>
      </c>
      <c r="G140" s="1">
        <v>3.5</v>
      </c>
      <c r="H140" s="1">
        <v>1</v>
      </c>
      <c r="I140" s="1">
        <v>2</v>
      </c>
      <c r="J140" s="1">
        <v>1.5</v>
      </c>
      <c r="K140" s="1">
        <v>1</v>
      </c>
      <c r="L140" s="1">
        <v>1</v>
      </c>
      <c r="M140" s="4">
        <v>1311</v>
      </c>
      <c r="N140" s="1">
        <v>1332</v>
      </c>
      <c r="O140" s="1">
        <v>3427</v>
      </c>
      <c r="P140" s="1">
        <v>2095</v>
      </c>
      <c r="Q140" s="1" t="s">
        <v>42</v>
      </c>
      <c r="S140" s="1" t="s">
        <v>42</v>
      </c>
      <c r="T140" s="1" t="s">
        <v>48</v>
      </c>
      <c r="U140" s="1">
        <v>50</v>
      </c>
      <c r="V140" s="5">
        <v>44379</v>
      </c>
      <c r="W140" s="5">
        <v>44377</v>
      </c>
      <c r="X140" s="1">
        <v>2625000</v>
      </c>
      <c r="AB140" s="1" t="s">
        <v>44</v>
      </c>
      <c r="AF140" s="1">
        <v>10023</v>
      </c>
      <c r="AI140" s="1" t="s">
        <v>58</v>
      </c>
      <c r="AJ140" s="1">
        <v>2021</v>
      </c>
      <c r="AK140" s="1" t="s">
        <v>81</v>
      </c>
      <c r="AL140" s="1">
        <v>112</v>
      </c>
    </row>
    <row r="141" spans="1:38" x14ac:dyDescent="0.2">
      <c r="A141" s="2" t="str">
        <f>HYPERLINK("https://www.compass.com/listing/133-mulberry-street-unit-3c-manhattan-ny-10013/786893861680697681/","133 Mulberry St, Unit 3C")</f>
        <v>133 Mulberry St, Unit 3C</v>
      </c>
      <c r="B141" s="2" t="str">
        <f t="shared" ref="B141:B142" si="20">HYPERLINK("https://www.compass.com/building/133-mulberry-st-manhattan-ny-10013/281916941336083477/","133 Mulberry St")</f>
        <v>133 Mulberry St</v>
      </c>
      <c r="C141" s="1" t="s">
        <v>135</v>
      </c>
      <c r="D141" s="1" t="s">
        <v>41</v>
      </c>
      <c r="E141" s="3">
        <v>2450000</v>
      </c>
      <c r="F141" s="1">
        <v>1770.23121387283</v>
      </c>
      <c r="G141" s="1">
        <v>4</v>
      </c>
      <c r="H141" s="1">
        <v>2</v>
      </c>
      <c r="I141" s="1">
        <v>2</v>
      </c>
      <c r="J141" s="1">
        <v>2</v>
      </c>
      <c r="K141" s="1">
        <v>2</v>
      </c>
      <c r="M141" s="4">
        <v>1384</v>
      </c>
      <c r="N141" s="1">
        <v>998</v>
      </c>
      <c r="O141" s="1">
        <v>2396</v>
      </c>
      <c r="P141" s="1">
        <v>1398</v>
      </c>
      <c r="Q141" s="1" t="s">
        <v>42</v>
      </c>
      <c r="S141" s="1" t="s">
        <v>42</v>
      </c>
      <c r="T141" s="1" t="s">
        <v>48</v>
      </c>
      <c r="U141" s="1">
        <v>89</v>
      </c>
      <c r="V141" s="5">
        <v>44425</v>
      </c>
      <c r="W141" s="5">
        <v>44338</v>
      </c>
      <c r="X141" s="1">
        <v>2500000</v>
      </c>
      <c r="AB141" s="1" t="s">
        <v>44</v>
      </c>
      <c r="AF141" s="1">
        <v>10013</v>
      </c>
      <c r="AI141" s="1" t="s">
        <v>136</v>
      </c>
      <c r="AJ141" s="1">
        <v>1893</v>
      </c>
      <c r="AK141" s="1" t="s">
        <v>137</v>
      </c>
      <c r="AL141" s="1">
        <v>18</v>
      </c>
    </row>
    <row r="142" spans="1:38" x14ac:dyDescent="0.2">
      <c r="A142" s="2" t="str">
        <f>HYPERLINK("https://www.compass.com/listing/133-mulberry-street-unit-2b-manhattan-ny-10013/789135813973023961/","133 Mulberry St, Unit 2B")</f>
        <v>133 Mulberry St, Unit 2B</v>
      </c>
      <c r="B142" s="2" t="str">
        <f t="shared" si="20"/>
        <v>133 Mulberry St</v>
      </c>
      <c r="C142" s="1" t="s">
        <v>135</v>
      </c>
      <c r="D142" s="1" t="s">
        <v>41</v>
      </c>
      <c r="E142" s="3">
        <v>3250000</v>
      </c>
      <c r="F142" s="1">
        <v>1099.0869124112201</v>
      </c>
      <c r="G142" s="1">
        <v>6.5</v>
      </c>
      <c r="H142" s="1">
        <v>4</v>
      </c>
      <c r="I142" s="1">
        <v>4</v>
      </c>
      <c r="J142" s="1">
        <v>3.5</v>
      </c>
      <c r="K142" s="1">
        <v>3</v>
      </c>
      <c r="L142" s="1">
        <v>1</v>
      </c>
      <c r="M142" s="4">
        <v>2957</v>
      </c>
      <c r="N142" s="1">
        <v>2135</v>
      </c>
      <c r="O142" s="1">
        <v>5146</v>
      </c>
      <c r="P142" s="1">
        <v>3011</v>
      </c>
      <c r="Q142" s="1" t="s">
        <v>42</v>
      </c>
      <c r="S142" s="1" t="s">
        <v>42</v>
      </c>
      <c r="T142" s="1" t="s">
        <v>48</v>
      </c>
      <c r="U142" s="1">
        <v>87</v>
      </c>
      <c r="V142" s="5">
        <v>44414</v>
      </c>
      <c r="W142" s="5">
        <v>44340</v>
      </c>
      <c r="X142" s="1">
        <v>3495000</v>
      </c>
      <c r="AB142" s="1" t="s">
        <v>44</v>
      </c>
      <c r="AF142" s="1">
        <v>10013</v>
      </c>
      <c r="AI142" s="1" t="s">
        <v>138</v>
      </c>
      <c r="AJ142" s="1">
        <v>1893</v>
      </c>
      <c r="AK142" s="1" t="s">
        <v>137</v>
      </c>
      <c r="AL142" s="1">
        <v>18</v>
      </c>
    </row>
    <row r="143" spans="1:38" x14ac:dyDescent="0.2">
      <c r="A143" s="2" t="str">
        <f>HYPERLINK("https://www.compass.com/listing/207-west-75th-street-unit-ph-manhattan-ny-10023/810470062256437289/","207 W 75th St, Unit PH")</f>
        <v>207 W 75th St, Unit PH</v>
      </c>
      <c r="B143" s="2" t="str">
        <f>HYPERLINK("https://www.compass.com/building/207-w-75th-st-manhattan-ny-10023/281958338252579269/","207 W 75th St")</f>
        <v>207 W 75th St</v>
      </c>
      <c r="C143" s="1" t="s">
        <v>47</v>
      </c>
      <c r="D143" s="1" t="s">
        <v>41</v>
      </c>
      <c r="E143" s="3">
        <v>5200000</v>
      </c>
      <c r="F143" s="1">
        <v>2191.3190054782899</v>
      </c>
      <c r="G143" s="1">
        <v>8</v>
      </c>
      <c r="H143" s="1">
        <v>2</v>
      </c>
      <c r="J143" s="1">
        <v>2</v>
      </c>
      <c r="M143" s="4">
        <v>2373</v>
      </c>
      <c r="N143" s="1">
        <v>1000</v>
      </c>
      <c r="O143" s="1">
        <v>1000</v>
      </c>
      <c r="S143" s="1" t="s">
        <v>42</v>
      </c>
      <c r="T143" s="1" t="s">
        <v>48</v>
      </c>
      <c r="U143" s="1">
        <v>57</v>
      </c>
      <c r="V143" s="5">
        <v>44370</v>
      </c>
      <c r="W143" s="5">
        <v>44370</v>
      </c>
      <c r="X143" s="1">
        <v>5200000</v>
      </c>
      <c r="AB143" s="1" t="s">
        <v>44</v>
      </c>
      <c r="AF143" s="1">
        <v>10023</v>
      </c>
      <c r="AI143" s="1" t="s">
        <v>139</v>
      </c>
      <c r="AJ143" s="1">
        <v>2018</v>
      </c>
      <c r="AK143" s="1" t="s">
        <v>140</v>
      </c>
      <c r="AL143" s="1">
        <v>6</v>
      </c>
    </row>
    <row r="144" spans="1:38" x14ac:dyDescent="0.2">
      <c r="A144" s="2" t="str">
        <f>HYPERLINK("https://www.compass.com/listing/55-leonard-street-unit-4-manhattan-ny-10013/749447408898945601/","55 Leonard St, Unit 4")</f>
        <v>55 Leonard St, Unit 4</v>
      </c>
      <c r="B144" s="2" t="str">
        <f>HYPERLINK("https://www.compass.com/building/55-leonard-st-manhattan-ny-10013/281920696261577573/","55 Leonard St")</f>
        <v>55 Leonard St</v>
      </c>
      <c r="C144" s="1" t="s">
        <v>40</v>
      </c>
      <c r="D144" s="1" t="s">
        <v>41</v>
      </c>
      <c r="E144" s="3">
        <v>3495000</v>
      </c>
      <c r="F144" s="1">
        <v>1802.47550283651</v>
      </c>
      <c r="G144" s="1">
        <v>5</v>
      </c>
      <c r="H144" s="1">
        <v>3</v>
      </c>
      <c r="I144" s="1">
        <v>3</v>
      </c>
      <c r="J144" s="1">
        <v>3</v>
      </c>
      <c r="K144" s="1">
        <v>3</v>
      </c>
      <c r="M144" s="4">
        <v>1939</v>
      </c>
      <c r="N144" s="1">
        <v>1698</v>
      </c>
      <c r="O144" s="1">
        <v>2797</v>
      </c>
      <c r="P144" s="1">
        <v>1099</v>
      </c>
      <c r="Q144" s="1" t="s">
        <v>42</v>
      </c>
      <c r="S144" s="1" t="s">
        <v>42</v>
      </c>
      <c r="T144" s="1" t="s">
        <v>48</v>
      </c>
      <c r="U144" s="1">
        <v>142</v>
      </c>
      <c r="V144" s="5">
        <v>44406</v>
      </c>
      <c r="W144" s="5">
        <v>44285</v>
      </c>
      <c r="X144" s="1">
        <v>3495000</v>
      </c>
      <c r="AB144" s="1" t="s">
        <v>44</v>
      </c>
      <c r="AF144" s="1">
        <v>10013</v>
      </c>
      <c r="AJ144" s="1">
        <v>1915</v>
      </c>
      <c r="AL144" s="1">
        <v>4</v>
      </c>
    </row>
    <row r="145" spans="1:38" x14ac:dyDescent="0.2">
      <c r="A145" s="2" t="str">
        <f>HYPERLINK("https://www.compass.com/listing/55-leonard-street-unit-th-manhattan-ny-10013/769699716301237689/","55 Leonard St")</f>
        <v>55 Leonard St</v>
      </c>
      <c r="B145" s="2" t="str">
        <f>HYPERLINK("https://www.compass.com/building/park-house-manhattan-ny/281906409380009173/","Park House")</f>
        <v>Park House</v>
      </c>
      <c r="C145" s="1" t="s">
        <v>40</v>
      </c>
      <c r="D145" s="1" t="s">
        <v>41</v>
      </c>
      <c r="E145" s="3">
        <v>11995000</v>
      </c>
      <c r="F145" s="1">
        <v>2348.27721221613</v>
      </c>
      <c r="G145" s="1">
        <v>10</v>
      </c>
      <c r="H145" s="1">
        <v>4</v>
      </c>
      <c r="I145" s="1">
        <v>5</v>
      </c>
      <c r="J145" s="1">
        <v>4.5</v>
      </c>
      <c r="K145" s="1">
        <v>4</v>
      </c>
      <c r="L145" s="1">
        <v>1</v>
      </c>
      <c r="M145" s="4">
        <v>5108</v>
      </c>
      <c r="N145" s="1">
        <v>3018</v>
      </c>
      <c r="O145" s="1">
        <v>4421</v>
      </c>
      <c r="P145" s="1">
        <v>1403</v>
      </c>
      <c r="Q145" s="1" t="s">
        <v>42</v>
      </c>
      <c r="S145" s="1" t="s">
        <v>42</v>
      </c>
      <c r="T145" s="1" t="s">
        <v>48</v>
      </c>
      <c r="U145" s="1">
        <v>114</v>
      </c>
      <c r="V145" s="5">
        <v>44427</v>
      </c>
      <c r="W145" s="5">
        <v>44313</v>
      </c>
      <c r="X145" s="1">
        <v>11995000</v>
      </c>
      <c r="AB145" s="1" t="s">
        <v>44</v>
      </c>
      <c r="AF145" s="1">
        <v>10013</v>
      </c>
      <c r="AI145" s="1" t="s">
        <v>128</v>
      </c>
      <c r="AJ145" s="1">
        <v>1915</v>
      </c>
      <c r="AL145" s="1">
        <v>4</v>
      </c>
    </row>
    <row r="146" spans="1:38" x14ac:dyDescent="0.2">
      <c r="A146" s="2" t="str">
        <f>HYPERLINK("https://www.compass.com/listing/555-west-end-avenue-unit-the-solarium-manhattan-ny-10024/89802428035114193/","555 W End Ave, Unit THE SOLARIUM")</f>
        <v>555 W End Ave, Unit THE SOLARIUM</v>
      </c>
      <c r="B146" s="2" t="str">
        <f>HYPERLINK("https://www.compass.com/building/555-west-end-avenue-manhattan-ny/292874438096018885/","555 West End Avenue")</f>
        <v>555 West End Avenue</v>
      </c>
      <c r="C146" s="1" t="s">
        <v>47</v>
      </c>
      <c r="D146" s="1" t="s">
        <v>41</v>
      </c>
      <c r="E146" s="3">
        <v>18000000</v>
      </c>
      <c r="F146" s="1">
        <v>5263.1578947368398</v>
      </c>
      <c r="G146" s="1">
        <v>6</v>
      </c>
      <c r="H146" s="1">
        <v>3</v>
      </c>
      <c r="I146" s="1">
        <v>4</v>
      </c>
      <c r="J146" s="1">
        <v>3.5</v>
      </c>
      <c r="K146" s="1">
        <v>3</v>
      </c>
      <c r="L146" s="1">
        <v>1</v>
      </c>
      <c r="M146" s="4">
        <v>3420</v>
      </c>
      <c r="N146" s="1">
        <v>5880</v>
      </c>
      <c r="O146" s="1">
        <v>15264</v>
      </c>
      <c r="P146" s="1">
        <v>9384</v>
      </c>
      <c r="Q146" s="1" t="s">
        <v>42</v>
      </c>
      <c r="S146" s="1" t="s">
        <v>42</v>
      </c>
      <c r="T146" s="1" t="s">
        <v>48</v>
      </c>
      <c r="U146" s="1">
        <v>957</v>
      </c>
      <c r="V146" s="5">
        <v>44425</v>
      </c>
      <c r="W146" s="5">
        <v>43376</v>
      </c>
      <c r="X146" s="1">
        <v>18000000</v>
      </c>
      <c r="AB146" s="1" t="s">
        <v>44</v>
      </c>
      <c r="AF146" s="1">
        <v>10024</v>
      </c>
      <c r="AI146" s="1" t="s">
        <v>141</v>
      </c>
      <c r="AJ146" s="1">
        <v>2019</v>
      </c>
      <c r="AK146" s="1" t="s">
        <v>87</v>
      </c>
      <c r="AL146" s="1">
        <v>13</v>
      </c>
    </row>
    <row r="147" spans="1:38" x14ac:dyDescent="0.2">
      <c r="A147" s="2" t="str">
        <f>HYPERLINK("https://www.compass.com/listing/91-leonard-street-unit-ph1-manhattan-ny-10013/770683723777168441/","91 Leonard St, Unit PH1")</f>
        <v>91 Leonard St, Unit PH1</v>
      </c>
      <c r="B147" s="2" t="str">
        <f>HYPERLINK("https://www.compass.com/building/91-leonard-manhattan-ny/282058661633754165/","91 Leonard")</f>
        <v>91 Leonard</v>
      </c>
      <c r="C147" s="1" t="s">
        <v>40</v>
      </c>
      <c r="D147" s="1" t="s">
        <v>41</v>
      </c>
      <c r="E147" s="3">
        <v>11137500</v>
      </c>
      <c r="F147" s="1">
        <v>3935.5123674911601</v>
      </c>
      <c r="G147" s="1">
        <v>7</v>
      </c>
      <c r="H147" s="1">
        <v>3</v>
      </c>
      <c r="J147" s="1">
        <v>3.5</v>
      </c>
      <c r="M147" s="4">
        <v>2830</v>
      </c>
      <c r="N147" s="1">
        <v>3905</v>
      </c>
      <c r="O147" s="1">
        <v>7784</v>
      </c>
      <c r="P147" s="1">
        <v>3879</v>
      </c>
      <c r="S147" s="1" t="s">
        <v>42</v>
      </c>
      <c r="T147" s="1" t="s">
        <v>48</v>
      </c>
      <c r="U147" s="1">
        <v>118</v>
      </c>
      <c r="V147" s="5">
        <v>44345</v>
      </c>
      <c r="W147" s="5">
        <v>44308</v>
      </c>
      <c r="X147" s="1">
        <v>11137500</v>
      </c>
      <c r="AB147" s="1" t="s">
        <v>44</v>
      </c>
      <c r="AF147" s="1">
        <v>10013</v>
      </c>
      <c r="AI147" s="1" t="s">
        <v>142</v>
      </c>
      <c r="AJ147" s="1">
        <v>2016</v>
      </c>
      <c r="AK147" s="1" t="s">
        <v>81</v>
      </c>
      <c r="AL147" s="1">
        <v>111</v>
      </c>
    </row>
    <row r="148" spans="1:38" x14ac:dyDescent="0.2">
      <c r="A148" s="2" t="str">
        <f>HYPERLINK("https://www.compass.com/listing/555-west-end-avenue-unit-the-library-manhattan-ny-10024/804183173080576617/","555 W End Ave, Unit THE LIBRARY")</f>
        <v>555 W End Ave, Unit THE LIBRARY</v>
      </c>
      <c r="B148" s="2" t="str">
        <f t="shared" ref="B148:B149" si="21">HYPERLINK("https://www.compass.com/building/555-west-end-avenue-manhattan-ny/292874438096018885/","555 West End Avenue")</f>
        <v>555 West End Avenue</v>
      </c>
      <c r="C148" s="1" t="s">
        <v>47</v>
      </c>
      <c r="D148" s="1" t="s">
        <v>41</v>
      </c>
      <c r="E148" s="3">
        <v>10500000</v>
      </c>
      <c r="F148" s="1">
        <v>3032.0531331215702</v>
      </c>
      <c r="G148" s="1">
        <v>7</v>
      </c>
      <c r="H148" s="1">
        <v>5</v>
      </c>
      <c r="I148" s="1">
        <v>6</v>
      </c>
      <c r="J148" s="1">
        <v>5.5</v>
      </c>
      <c r="K148" s="1">
        <v>5</v>
      </c>
      <c r="L148" s="1">
        <v>1</v>
      </c>
      <c r="M148" s="4">
        <v>3463</v>
      </c>
      <c r="N148" s="1">
        <v>4763</v>
      </c>
      <c r="O148" s="1">
        <v>12365</v>
      </c>
      <c r="P148" s="1">
        <v>7602</v>
      </c>
      <c r="Q148" s="1" t="s">
        <v>42</v>
      </c>
      <c r="S148" s="1" t="s">
        <v>42</v>
      </c>
      <c r="T148" s="1" t="s">
        <v>48</v>
      </c>
      <c r="U148" s="1">
        <v>957</v>
      </c>
      <c r="V148" s="5">
        <v>44425</v>
      </c>
      <c r="W148" s="5">
        <v>43376</v>
      </c>
      <c r="X148" s="1">
        <v>10500000</v>
      </c>
      <c r="AB148" s="1" t="s">
        <v>44</v>
      </c>
      <c r="AF148" s="1">
        <v>10024</v>
      </c>
      <c r="AJ148" s="1">
        <v>2019</v>
      </c>
      <c r="AK148" s="1" t="s">
        <v>87</v>
      </c>
      <c r="AL148" s="1">
        <v>13</v>
      </c>
    </row>
    <row r="149" spans="1:38" x14ac:dyDescent="0.2">
      <c r="A149" s="2" t="str">
        <f>HYPERLINK("https://www.compass.com/listing/555-west-end-avenue-unit-3w-manhattan-ny-10024/801634614565080265/","555 W End Ave, Unit 3W")</f>
        <v>555 W End Ave, Unit 3W</v>
      </c>
      <c r="B149" s="2" t="str">
        <f t="shared" si="21"/>
        <v>555 West End Avenue</v>
      </c>
      <c r="C149" s="1" t="s">
        <v>47</v>
      </c>
      <c r="D149" s="1" t="s">
        <v>41</v>
      </c>
      <c r="E149" s="3">
        <v>7500000</v>
      </c>
      <c r="F149" s="1">
        <v>2761.41384388807</v>
      </c>
      <c r="G149" s="1">
        <v>7</v>
      </c>
      <c r="H149" s="1">
        <v>4</v>
      </c>
      <c r="I149" s="1">
        <v>5</v>
      </c>
      <c r="J149" s="1">
        <v>4.5</v>
      </c>
      <c r="K149" s="1">
        <v>4</v>
      </c>
      <c r="L149" s="1">
        <v>1</v>
      </c>
      <c r="M149" s="4">
        <v>2716</v>
      </c>
      <c r="N149" s="1">
        <v>3736</v>
      </c>
      <c r="O149" s="1">
        <v>9698</v>
      </c>
      <c r="P149" s="1">
        <v>5962</v>
      </c>
      <c r="Q149" s="1" t="s">
        <v>143</v>
      </c>
      <c r="S149" s="1" t="s">
        <v>42</v>
      </c>
      <c r="T149" s="1" t="s">
        <v>48</v>
      </c>
      <c r="U149" s="1">
        <v>957</v>
      </c>
      <c r="V149" s="5">
        <v>44425</v>
      </c>
      <c r="W149" s="5">
        <v>43376</v>
      </c>
      <c r="X149" s="1">
        <v>7900000</v>
      </c>
      <c r="AB149" s="1" t="s">
        <v>44</v>
      </c>
      <c r="AF149" s="1">
        <v>10024</v>
      </c>
      <c r="AJ149" s="1">
        <v>2019</v>
      </c>
      <c r="AK149" s="1" t="s">
        <v>81</v>
      </c>
      <c r="AL149" s="1">
        <v>13</v>
      </c>
    </row>
    <row r="150" spans="1:38" x14ac:dyDescent="0.2">
      <c r="A150" s="2" t="str">
        <f>HYPERLINK("https://www.compass.com/listing/269-west-87th-street-unit-th1-manhattan-ny-10024/750659707955068753/","269 W 87th St, Unit TH1")</f>
        <v>269 W 87th St, Unit TH1</v>
      </c>
      <c r="B150" s="2" t="str">
        <f>HYPERLINK("https://www.compass.com/building/west-end-and-eighty-seven-manhattan-ny/282058755477110005/","West End and Eighty Seven")</f>
        <v>West End and Eighty Seven</v>
      </c>
      <c r="C150" s="1" t="s">
        <v>47</v>
      </c>
      <c r="D150" s="1" t="s">
        <v>41</v>
      </c>
      <c r="E150" s="3">
        <v>5400000</v>
      </c>
      <c r="F150" s="1">
        <v>1440.3841024273099</v>
      </c>
      <c r="G150" s="1">
        <v>7</v>
      </c>
      <c r="H150" s="1">
        <v>4</v>
      </c>
      <c r="I150" s="1">
        <v>5</v>
      </c>
      <c r="J150" s="1">
        <v>4.5</v>
      </c>
      <c r="K150" s="1">
        <v>4</v>
      </c>
      <c r="L150" s="1">
        <v>1</v>
      </c>
      <c r="M150" s="4">
        <v>3749</v>
      </c>
      <c r="N150" s="1">
        <v>10630</v>
      </c>
      <c r="O150" s="1">
        <v>12745</v>
      </c>
      <c r="P150" s="1">
        <v>2115</v>
      </c>
      <c r="Q150" s="1" t="s">
        <v>109</v>
      </c>
      <c r="S150" s="1" t="s">
        <v>109</v>
      </c>
      <c r="T150" s="1" t="s">
        <v>48</v>
      </c>
      <c r="U150" s="1">
        <v>140</v>
      </c>
      <c r="V150" s="5">
        <v>44426</v>
      </c>
      <c r="W150" s="5">
        <v>44287</v>
      </c>
      <c r="X150" s="1">
        <v>5400000</v>
      </c>
      <c r="AB150" s="1" t="s">
        <v>44</v>
      </c>
      <c r="AD150" s="1" t="s">
        <v>116</v>
      </c>
      <c r="AE150" s="1" t="s">
        <v>111</v>
      </c>
      <c r="AF150" s="1">
        <v>10024</v>
      </c>
      <c r="AI150" s="1" t="s">
        <v>86</v>
      </c>
      <c r="AJ150" s="1">
        <v>2018</v>
      </c>
      <c r="AK150" s="1" t="s">
        <v>81</v>
      </c>
      <c r="AL150" s="1">
        <v>39</v>
      </c>
    </row>
    <row r="151" spans="1:38" x14ac:dyDescent="0.2">
      <c r="A151" s="2" t="str">
        <f>HYPERLINK("https://www.compass.com/listing/55-leonard-street-unit-ph-manhattan-ny-10013/760178232354140393/","55 Leonard St, Unit PH")</f>
        <v>55 Leonard St, Unit PH</v>
      </c>
      <c r="B151" s="2" t="str">
        <f>HYPERLINK("https://www.compass.com/building/55-leonard-st-manhattan-ny-10013/281920696261577573/","55 Leonard St")</f>
        <v>55 Leonard St</v>
      </c>
      <c r="C151" s="1" t="s">
        <v>40</v>
      </c>
      <c r="D151" s="1" t="s">
        <v>41</v>
      </c>
      <c r="E151" s="3">
        <v>7995000</v>
      </c>
      <c r="F151" s="1">
        <v>1759.4630281690099</v>
      </c>
      <c r="G151" s="1">
        <v>10</v>
      </c>
      <c r="H151" s="1">
        <v>5</v>
      </c>
      <c r="I151" s="1">
        <v>4</v>
      </c>
      <c r="J151" s="1">
        <v>4</v>
      </c>
      <c r="K151" s="1">
        <v>4</v>
      </c>
      <c r="M151" s="4">
        <v>4544</v>
      </c>
      <c r="N151" s="1">
        <v>5025</v>
      </c>
      <c r="O151" s="1">
        <v>7363</v>
      </c>
      <c r="P151" s="1">
        <v>2338</v>
      </c>
      <c r="Q151" s="1" t="s">
        <v>42</v>
      </c>
      <c r="S151" s="1" t="s">
        <v>42</v>
      </c>
      <c r="T151" s="1" t="s">
        <v>48</v>
      </c>
      <c r="U151" s="1">
        <v>128</v>
      </c>
      <c r="V151" s="5">
        <v>44427</v>
      </c>
      <c r="W151" s="5">
        <v>44299</v>
      </c>
      <c r="X151" s="1">
        <v>7995000</v>
      </c>
      <c r="AB151" s="1" t="s">
        <v>44</v>
      </c>
      <c r="AF151" s="1">
        <v>10013</v>
      </c>
      <c r="AI151" s="1" t="s">
        <v>144</v>
      </c>
      <c r="AJ151" s="1">
        <v>1915</v>
      </c>
      <c r="AL151" s="1">
        <v>4</v>
      </c>
    </row>
    <row r="152" spans="1:38" x14ac:dyDescent="0.2">
      <c r="A152" s="2" t="str">
        <f>HYPERLINK("https://www.compass.com/listing/555-west-end-avenue-manhattan-ny-10024/803362145537981409/","555 W End Ave")</f>
        <v>555 W End Ave</v>
      </c>
      <c r="B152" s="2" t="str">
        <f t="shared" ref="B152:B153" si="22">HYPERLINK("https://www.compass.com/building/555-west-end-avenue-manhattan-ny/292874438096018885/","555 West End Avenue")</f>
        <v>555 West End Avenue</v>
      </c>
      <c r="C152" s="1" t="s">
        <v>47</v>
      </c>
      <c r="D152" s="1" t="s">
        <v>41</v>
      </c>
      <c r="E152" s="3">
        <v>11500000</v>
      </c>
      <c r="F152" s="1">
        <v>2630.3751143641298</v>
      </c>
      <c r="G152" s="1">
        <v>8</v>
      </c>
      <c r="H152" s="1">
        <v>4</v>
      </c>
      <c r="I152" s="1">
        <v>5</v>
      </c>
      <c r="J152" s="1">
        <v>5</v>
      </c>
      <c r="K152" s="1">
        <v>4</v>
      </c>
      <c r="L152" s="1">
        <v>2</v>
      </c>
      <c r="M152" s="4">
        <v>4372</v>
      </c>
      <c r="N152" s="1">
        <v>4810</v>
      </c>
      <c r="O152" s="1">
        <v>12488</v>
      </c>
      <c r="P152" s="1">
        <v>7678</v>
      </c>
      <c r="Q152" s="1" t="s">
        <v>42</v>
      </c>
      <c r="S152" s="1" t="s">
        <v>42</v>
      </c>
      <c r="T152" s="1" t="s">
        <v>48</v>
      </c>
      <c r="U152" s="1">
        <v>583</v>
      </c>
      <c r="V152" s="5">
        <v>44425</v>
      </c>
      <c r="W152" s="5">
        <v>43750</v>
      </c>
      <c r="X152" s="1">
        <v>11500000</v>
      </c>
      <c r="AB152" s="1" t="s">
        <v>44</v>
      </c>
      <c r="AF152" s="1">
        <v>10024</v>
      </c>
      <c r="AJ152" s="1">
        <v>2019</v>
      </c>
      <c r="AK152" s="1" t="s">
        <v>87</v>
      </c>
      <c r="AL152" s="1">
        <v>13</v>
      </c>
    </row>
    <row r="153" spans="1:38" x14ac:dyDescent="0.2">
      <c r="A153" s="2" t="str">
        <f>HYPERLINK("https://www.compass.com/listing/555-west-end-avenue-unit-ph-manhattan-ny-10024/743517123468548073/","555 W End Ave, Unit PH")</f>
        <v>555 W End Ave, Unit PH</v>
      </c>
      <c r="B153" s="2" t="str">
        <f t="shared" si="22"/>
        <v>555 West End Avenue</v>
      </c>
      <c r="C153" s="1" t="s">
        <v>47</v>
      </c>
      <c r="D153" s="1" t="s">
        <v>41</v>
      </c>
      <c r="E153" s="3">
        <v>42000000</v>
      </c>
      <c r="F153" s="1">
        <v>4982.7974848736503</v>
      </c>
      <c r="G153" s="1">
        <v>15</v>
      </c>
      <c r="H153" s="1">
        <v>6</v>
      </c>
      <c r="I153" s="1">
        <v>7</v>
      </c>
      <c r="J153" s="1">
        <v>6.5</v>
      </c>
      <c r="K153" s="1">
        <v>6</v>
      </c>
      <c r="L153" s="1">
        <v>1</v>
      </c>
      <c r="M153" s="4">
        <v>8429</v>
      </c>
      <c r="N153" s="1">
        <v>13803</v>
      </c>
      <c r="O153" s="1">
        <v>35831</v>
      </c>
      <c r="P153" s="1">
        <v>22028</v>
      </c>
      <c r="Q153" s="1" t="s">
        <v>42</v>
      </c>
      <c r="S153" s="1" t="s">
        <v>42</v>
      </c>
      <c r="T153" s="1" t="s">
        <v>48</v>
      </c>
      <c r="U153" s="1">
        <v>149</v>
      </c>
      <c r="V153" s="5">
        <v>44425</v>
      </c>
      <c r="W153" s="5">
        <v>44278</v>
      </c>
      <c r="X153" s="1">
        <v>42000000</v>
      </c>
      <c r="AB153" s="1" t="s">
        <v>44</v>
      </c>
      <c r="AF153" s="1">
        <v>10024</v>
      </c>
      <c r="AI153" s="1" t="s">
        <v>141</v>
      </c>
      <c r="AJ153" s="1">
        <v>2019</v>
      </c>
      <c r="AK153" s="1" t="s">
        <v>87</v>
      </c>
      <c r="AL153" s="1">
        <v>13</v>
      </c>
    </row>
    <row r="154" spans="1:38" x14ac:dyDescent="0.2">
      <c r="A154" s="2" t="str">
        <f>HYPERLINK("https://www.compass.com/listing/139-west-126th-street-unit-3b-manhattan-ny-10027/831971243408975017/","139 W 126th St, Unit 3B")</f>
        <v>139 W 126th St, Unit 3B</v>
      </c>
      <c r="B154" s="2" t="str">
        <f>HYPERLINK("https://www.compass.com/building/139-w-126th-st-manhattan-ny-10027/281978594853484453/","139 W 126th St")</f>
        <v>139 W 126th St</v>
      </c>
      <c r="C154" s="1" t="s">
        <v>145</v>
      </c>
      <c r="D154" s="1" t="s">
        <v>41</v>
      </c>
      <c r="E154" s="3">
        <v>999000</v>
      </c>
      <c r="F154" s="1">
        <v>1097.80219780219</v>
      </c>
      <c r="G154" s="1">
        <v>4</v>
      </c>
      <c r="H154" s="1">
        <v>2</v>
      </c>
      <c r="I154" s="1">
        <v>2</v>
      </c>
      <c r="J154" s="1">
        <v>2</v>
      </c>
      <c r="K154" s="1">
        <v>2</v>
      </c>
      <c r="M154" s="1">
        <v>910</v>
      </c>
      <c r="N154" s="1">
        <v>340</v>
      </c>
      <c r="O154" s="1">
        <v>1011</v>
      </c>
      <c r="P154" s="1">
        <v>671</v>
      </c>
      <c r="S154" s="1" t="s">
        <v>42</v>
      </c>
      <c r="T154" s="1" t="s">
        <v>48</v>
      </c>
      <c r="U154" s="1">
        <v>27</v>
      </c>
      <c r="V154" s="5">
        <v>44421</v>
      </c>
      <c r="W154" s="5">
        <v>44400</v>
      </c>
      <c r="X154" s="1">
        <v>999000</v>
      </c>
      <c r="AB154" s="1" t="s">
        <v>44</v>
      </c>
      <c r="AF154" s="1">
        <v>10027</v>
      </c>
      <c r="AI154" s="1" t="s">
        <v>49</v>
      </c>
      <c r="AJ154" s="1">
        <v>1910</v>
      </c>
      <c r="AL154" s="1">
        <v>4</v>
      </c>
    </row>
    <row r="155" spans="1:38" x14ac:dyDescent="0.2">
      <c r="A155" s="2" t="str">
        <f>HYPERLINK("https://www.compass.com/listing/555-west-end-avenue-unit-terrace-ph-manhattan-ny-10024/557168761592237953/","555 W End Ave, Unit TERRACE PH")</f>
        <v>555 W End Ave, Unit TERRACE PH</v>
      </c>
      <c r="B155" s="2" t="str">
        <f>HYPERLINK("https://www.compass.com/building/555-west-end-avenue-manhattan-ny/292874438096018885/","555 West End Avenue")</f>
        <v>555 West End Avenue</v>
      </c>
      <c r="C155" s="1" t="s">
        <v>47</v>
      </c>
      <c r="D155" s="1" t="s">
        <v>41</v>
      </c>
      <c r="E155" s="3">
        <v>22500000</v>
      </c>
      <c r="F155" s="1">
        <v>4491.9145538031498</v>
      </c>
      <c r="G155" s="1">
        <v>9</v>
      </c>
      <c r="H155" s="1">
        <v>4</v>
      </c>
      <c r="I155" s="1">
        <v>5</v>
      </c>
      <c r="J155" s="1">
        <v>4.5</v>
      </c>
      <c r="K155" s="1">
        <v>4</v>
      </c>
      <c r="L155" s="1">
        <v>1</v>
      </c>
      <c r="M155" s="4">
        <v>5009</v>
      </c>
      <c r="N155" s="1">
        <v>7924</v>
      </c>
      <c r="O155" s="1">
        <v>20568</v>
      </c>
      <c r="P155" s="1">
        <v>12644</v>
      </c>
      <c r="Q155" s="1" t="s">
        <v>42</v>
      </c>
      <c r="S155" s="1" t="s">
        <v>42</v>
      </c>
      <c r="T155" s="1" t="s">
        <v>48</v>
      </c>
      <c r="U155" s="1">
        <v>406</v>
      </c>
      <c r="V155" s="5">
        <v>44425</v>
      </c>
      <c r="W155" s="5">
        <v>44021</v>
      </c>
      <c r="X155" s="1">
        <v>22500000</v>
      </c>
      <c r="AB155" s="1" t="s">
        <v>44</v>
      </c>
      <c r="AF155" s="1">
        <v>10024</v>
      </c>
      <c r="AI155" s="1" t="s">
        <v>141</v>
      </c>
      <c r="AJ155" s="1">
        <v>2019</v>
      </c>
      <c r="AK155" s="1" t="s">
        <v>87</v>
      </c>
      <c r="AL155" s="1">
        <v>13</v>
      </c>
    </row>
    <row r="156" spans="1:38" x14ac:dyDescent="0.2">
      <c r="A156" s="2" t="str">
        <f>HYPERLINK("https://www.compass.com/listing/320-east-82nd-street-unit-mais-manhattan-ny-10028/785640242899260377/","320 E 82nd St, Unit MAIS")</f>
        <v>320 E 82nd St, Unit MAIS</v>
      </c>
      <c r="B156" s="2" t="str">
        <f t="shared" ref="B156:B157" si="23">HYPERLINK("https://www.compass.com/building/the-park-mansion-manhattan-ny/281986214662348405/","The Park Mansion")</f>
        <v>The Park Mansion</v>
      </c>
      <c r="C156" s="1" t="s">
        <v>53</v>
      </c>
      <c r="D156" s="1" t="s">
        <v>41</v>
      </c>
      <c r="E156" s="3">
        <v>5995000</v>
      </c>
      <c r="F156" s="1">
        <v>1688.73239436619</v>
      </c>
      <c r="G156" s="1">
        <v>6</v>
      </c>
      <c r="H156" s="1">
        <v>3</v>
      </c>
      <c r="I156" s="1">
        <v>4</v>
      </c>
      <c r="J156" s="1">
        <v>3.5</v>
      </c>
      <c r="K156" s="1">
        <v>3</v>
      </c>
      <c r="L156" s="1">
        <v>1</v>
      </c>
      <c r="M156" s="4">
        <v>3550</v>
      </c>
      <c r="N156" s="1">
        <v>3161</v>
      </c>
      <c r="O156" s="1">
        <v>8661</v>
      </c>
      <c r="P156" s="1">
        <v>5500</v>
      </c>
      <c r="Q156" s="1" t="s">
        <v>42</v>
      </c>
      <c r="S156" s="1" t="s">
        <v>42</v>
      </c>
      <c r="T156" s="1" t="s">
        <v>48</v>
      </c>
      <c r="U156" s="1">
        <v>92</v>
      </c>
      <c r="V156" s="5">
        <v>44422</v>
      </c>
      <c r="W156" s="5">
        <v>44335</v>
      </c>
      <c r="X156" s="1">
        <v>5995000</v>
      </c>
      <c r="AB156" s="1" t="s">
        <v>44</v>
      </c>
      <c r="AF156" s="1">
        <v>10028</v>
      </c>
      <c r="AI156" s="1" t="s">
        <v>146</v>
      </c>
      <c r="AJ156" s="1">
        <v>1900</v>
      </c>
      <c r="AK156" s="1" t="s">
        <v>87</v>
      </c>
      <c r="AL156" s="1">
        <v>6</v>
      </c>
    </row>
    <row r="157" spans="1:38" x14ac:dyDescent="0.2">
      <c r="A157" s="2" t="str">
        <f>HYPERLINK("https://www.compass.com/listing/320-east-82nd-street-unit-ph-manhattan-ny-10028/784946005770327953/","320 E 82nd St, Unit PH")</f>
        <v>320 E 82nd St, Unit PH</v>
      </c>
      <c r="B157" s="2" t="str">
        <f t="shared" si="23"/>
        <v>The Park Mansion</v>
      </c>
      <c r="C157" s="1" t="s">
        <v>53</v>
      </c>
      <c r="D157" s="1" t="s">
        <v>41</v>
      </c>
      <c r="E157" s="3">
        <v>5550000</v>
      </c>
      <c r="F157" s="1">
        <v>2368.7580025608099</v>
      </c>
      <c r="G157" s="1">
        <v>6</v>
      </c>
      <c r="H157" s="1">
        <v>3</v>
      </c>
      <c r="I157" s="1">
        <v>4</v>
      </c>
      <c r="J157" s="1">
        <v>3.5</v>
      </c>
      <c r="K157" s="1">
        <v>3</v>
      </c>
      <c r="L157" s="1">
        <v>1</v>
      </c>
      <c r="M157" s="4">
        <v>2343</v>
      </c>
      <c r="N157" s="1">
        <v>3116</v>
      </c>
      <c r="O157" s="1">
        <v>8975.09</v>
      </c>
      <c r="P157" s="1">
        <v>5859.0833333333303</v>
      </c>
      <c r="Q157" s="1" t="s">
        <v>42</v>
      </c>
      <c r="S157" s="1" t="s">
        <v>42</v>
      </c>
      <c r="T157" s="1" t="s">
        <v>48</v>
      </c>
      <c r="U157" s="1">
        <v>93</v>
      </c>
      <c r="V157" s="5">
        <v>44427</v>
      </c>
      <c r="W157" s="5">
        <v>44334</v>
      </c>
      <c r="X157" s="1">
        <v>5550000</v>
      </c>
      <c r="AB157" s="1" t="s">
        <v>44</v>
      </c>
      <c r="AF157" s="1">
        <v>10028</v>
      </c>
      <c r="AI157" s="1" t="s">
        <v>147</v>
      </c>
      <c r="AJ157" s="1">
        <v>1900</v>
      </c>
      <c r="AK157" s="1" t="s">
        <v>87</v>
      </c>
      <c r="AL157" s="1">
        <v>6</v>
      </c>
    </row>
    <row r="158" spans="1:38" x14ac:dyDescent="0.2">
      <c r="A158" s="2" t="str">
        <f>HYPERLINK("https://www.compass.com/listing/550-west-29th-street-unit-7d-manhattan-ny-10001/733749616917250313/","550 W 29th St, Unit 7D")</f>
        <v>550 W 29th St, Unit 7D</v>
      </c>
      <c r="B158" s="2" t="str">
        <f t="shared" ref="B158:B160" si="24">HYPERLINK("https://www.compass.com/building/five-five-zero-manhattan-ny/282059178623665589/","Five Five Zero")</f>
        <v>Five Five Zero</v>
      </c>
      <c r="C158" s="1" t="s">
        <v>62</v>
      </c>
      <c r="D158" s="1" t="s">
        <v>41</v>
      </c>
      <c r="E158" s="3">
        <v>3295000</v>
      </c>
      <c r="F158" s="1">
        <v>1768.65271068169</v>
      </c>
      <c r="G158" s="1">
        <v>5</v>
      </c>
      <c r="H158" s="1">
        <v>3</v>
      </c>
      <c r="I158" s="1">
        <v>3</v>
      </c>
      <c r="J158" s="1">
        <v>3</v>
      </c>
      <c r="K158" s="1">
        <v>3</v>
      </c>
      <c r="M158" s="4">
        <v>1863</v>
      </c>
      <c r="N158" s="1">
        <v>2867</v>
      </c>
      <c r="O158" s="1">
        <v>6644</v>
      </c>
      <c r="P158" s="1">
        <v>3777</v>
      </c>
      <c r="Q158" s="1" t="s">
        <v>42</v>
      </c>
      <c r="S158" s="1" t="s">
        <v>42</v>
      </c>
      <c r="T158" s="1" t="s">
        <v>48</v>
      </c>
      <c r="U158" s="1">
        <v>164</v>
      </c>
      <c r="V158" s="5">
        <v>44414</v>
      </c>
      <c r="W158" s="5">
        <v>44263</v>
      </c>
      <c r="X158" s="1">
        <v>3375000</v>
      </c>
      <c r="AB158" s="1" t="s">
        <v>44</v>
      </c>
      <c r="AF158" s="1">
        <v>10001</v>
      </c>
      <c r="AI158" s="1" t="s">
        <v>148</v>
      </c>
      <c r="AJ158" s="1">
        <v>2016</v>
      </c>
      <c r="AK158" s="1" t="s">
        <v>81</v>
      </c>
      <c r="AL158" s="1">
        <v>19</v>
      </c>
    </row>
    <row r="159" spans="1:38" x14ac:dyDescent="0.2">
      <c r="A159" s="2" t="str">
        <f>HYPERLINK("https://www.compass.com/listing/550-west-29th-street-unit-3a-manhattan-ny-10001/700302391486035745/","550 W 29th St, Unit 3A")</f>
        <v>550 W 29th St, Unit 3A</v>
      </c>
      <c r="B159" s="2" t="str">
        <f t="shared" si="24"/>
        <v>Five Five Zero</v>
      </c>
      <c r="C159" s="1" t="s">
        <v>62</v>
      </c>
      <c r="D159" s="1" t="s">
        <v>41</v>
      </c>
      <c r="E159" s="3">
        <v>3600000</v>
      </c>
      <c r="F159" s="1">
        <v>1651.3761467889899</v>
      </c>
      <c r="G159" s="1">
        <v>6</v>
      </c>
      <c r="H159" s="1">
        <v>3</v>
      </c>
      <c r="I159" s="1">
        <v>4</v>
      </c>
      <c r="J159" s="1">
        <v>3.5</v>
      </c>
      <c r="K159" s="1">
        <v>3</v>
      </c>
      <c r="L159" s="1">
        <v>1</v>
      </c>
      <c r="M159" s="4">
        <v>2180</v>
      </c>
      <c r="N159" s="1">
        <v>2990</v>
      </c>
      <c r="O159" s="1">
        <v>6928</v>
      </c>
      <c r="P159" s="1">
        <v>3938</v>
      </c>
      <c r="Q159" s="1" t="s">
        <v>42</v>
      </c>
      <c r="S159" s="1" t="s">
        <v>42</v>
      </c>
      <c r="T159" s="1" t="s">
        <v>48</v>
      </c>
      <c r="U159" s="1">
        <v>210</v>
      </c>
      <c r="V159" s="5">
        <v>44414</v>
      </c>
      <c r="W159" s="5">
        <v>44217</v>
      </c>
      <c r="X159" s="1">
        <v>3600000</v>
      </c>
      <c r="AB159" s="1" t="s">
        <v>44</v>
      </c>
      <c r="AF159" s="1">
        <v>10001</v>
      </c>
      <c r="AI159" s="1" t="s">
        <v>58</v>
      </c>
      <c r="AJ159" s="1">
        <v>2016</v>
      </c>
      <c r="AK159" s="1" t="s">
        <v>81</v>
      </c>
      <c r="AL159" s="1">
        <v>19</v>
      </c>
    </row>
    <row r="160" spans="1:38" x14ac:dyDescent="0.2">
      <c r="A160" s="2" t="str">
        <f>HYPERLINK("https://www.compass.com/listing/550-west-29th-street-unit-7b-manhattan-ny-10001/708997961471459137/","550 W 29th St, Unit 7B")</f>
        <v>550 W 29th St, Unit 7B</v>
      </c>
      <c r="B160" s="2" t="str">
        <f t="shared" si="24"/>
        <v>Five Five Zero</v>
      </c>
      <c r="C160" s="1" t="s">
        <v>62</v>
      </c>
      <c r="D160" s="1" t="s">
        <v>41</v>
      </c>
      <c r="E160" s="3">
        <v>3995000</v>
      </c>
      <c r="F160" s="1">
        <v>1832.5688073394399</v>
      </c>
      <c r="G160" s="1">
        <v>5.5</v>
      </c>
      <c r="H160" s="1">
        <v>3</v>
      </c>
      <c r="I160" s="1">
        <v>4</v>
      </c>
      <c r="J160" s="1">
        <v>3.5</v>
      </c>
      <c r="K160" s="1">
        <v>3</v>
      </c>
      <c r="L160" s="1">
        <v>1</v>
      </c>
      <c r="M160" s="4">
        <v>2180</v>
      </c>
      <c r="N160" s="1">
        <v>3304</v>
      </c>
      <c r="O160" s="1">
        <v>7656</v>
      </c>
      <c r="P160" s="1">
        <v>4352</v>
      </c>
      <c r="Q160" s="1" t="s">
        <v>42</v>
      </c>
      <c r="S160" s="1" t="s">
        <v>42</v>
      </c>
      <c r="T160" s="1" t="s">
        <v>48</v>
      </c>
      <c r="U160" s="1">
        <v>198</v>
      </c>
      <c r="V160" s="5">
        <v>44414</v>
      </c>
      <c r="W160" s="5">
        <v>44229</v>
      </c>
      <c r="X160" s="1">
        <v>3995000</v>
      </c>
      <c r="AB160" s="1" t="s">
        <v>44</v>
      </c>
      <c r="AF160" s="1">
        <v>10001</v>
      </c>
      <c r="AI160" s="1" t="s">
        <v>58</v>
      </c>
      <c r="AJ160" s="1">
        <v>2016</v>
      </c>
      <c r="AK160" s="1" t="s">
        <v>81</v>
      </c>
      <c r="AL160" s="1">
        <v>19</v>
      </c>
    </row>
    <row r="161" spans="1:38" x14ac:dyDescent="0.2">
      <c r="A161" s="2" t="str">
        <f>HYPERLINK("https://www.compass.com/listing/50-west-30th-street-unit-4b-manhattan-ny-10001/806189428280838089/","50 W 30th St, Unit 4B")</f>
        <v>50 W 30th St, Unit 4B</v>
      </c>
      <c r="B161" s="2" t="str">
        <f>HYPERLINK("https://www.compass.com/building/the-noma-manhattan-ny/282058879016139621/","The NOMA")</f>
        <v>The NOMA</v>
      </c>
      <c r="C161" s="1" t="s">
        <v>95</v>
      </c>
      <c r="D161" s="1" t="s">
        <v>41</v>
      </c>
      <c r="E161" s="3">
        <v>2495000</v>
      </c>
      <c r="F161" s="1">
        <v>2007.2405470635499</v>
      </c>
      <c r="G161" s="1">
        <v>6</v>
      </c>
      <c r="H161" s="1">
        <v>2</v>
      </c>
      <c r="J161" s="1">
        <v>2</v>
      </c>
      <c r="M161" s="4">
        <v>1243</v>
      </c>
      <c r="N161" s="1">
        <v>1520</v>
      </c>
      <c r="O161" s="1">
        <v>2873</v>
      </c>
      <c r="P161" s="1">
        <v>1353</v>
      </c>
      <c r="S161" s="1" t="s">
        <v>42</v>
      </c>
      <c r="T161" s="1" t="s">
        <v>48</v>
      </c>
      <c r="U161" s="1">
        <v>63</v>
      </c>
      <c r="V161" s="5">
        <v>44384</v>
      </c>
      <c r="W161" s="5">
        <v>44363</v>
      </c>
      <c r="X161" s="1">
        <v>2495000</v>
      </c>
      <c r="AB161" s="1" t="s">
        <v>44</v>
      </c>
      <c r="AF161" s="1">
        <v>10001</v>
      </c>
      <c r="AI161" s="1" t="s">
        <v>45</v>
      </c>
      <c r="AJ161" s="1">
        <v>2017</v>
      </c>
      <c r="AK161" s="1" t="s">
        <v>55</v>
      </c>
      <c r="AL161" s="1">
        <v>55</v>
      </c>
    </row>
    <row r="162" spans="1:38" x14ac:dyDescent="0.2">
      <c r="A162" s="2" t="str">
        <f>HYPERLINK("https://www.compass.com/listing/550-west-29th-street-unit-phb-manhattan-ny-10001/647858669013543209/","550 W 29th St, Unit PHB")</f>
        <v>550 W 29th St, Unit PHB</v>
      </c>
      <c r="B162" s="2" t="str">
        <f>HYPERLINK("https://www.compass.com/building/five-five-zero-manhattan-ny/282059178623665589/","Five Five Zero")</f>
        <v>Five Five Zero</v>
      </c>
      <c r="C162" s="1" t="s">
        <v>62</v>
      </c>
      <c r="D162" s="1" t="s">
        <v>41</v>
      </c>
      <c r="E162" s="3">
        <v>8495000</v>
      </c>
      <c r="F162" s="1">
        <v>2582.0668693009102</v>
      </c>
      <c r="G162" s="1">
        <v>7</v>
      </c>
      <c r="H162" s="1">
        <v>4</v>
      </c>
      <c r="I162" s="1">
        <v>5</v>
      </c>
      <c r="J162" s="1">
        <v>4.5</v>
      </c>
      <c r="K162" s="1">
        <v>4</v>
      </c>
      <c r="L162" s="1">
        <v>1</v>
      </c>
      <c r="M162" s="4">
        <v>3290</v>
      </c>
      <c r="N162" s="1">
        <v>5420</v>
      </c>
      <c r="O162" s="1">
        <v>12559</v>
      </c>
      <c r="P162" s="1">
        <v>7139</v>
      </c>
      <c r="Q162" s="1" t="s">
        <v>42</v>
      </c>
      <c r="S162" s="1" t="s">
        <v>42</v>
      </c>
      <c r="T162" s="1" t="s">
        <v>48</v>
      </c>
      <c r="U162" s="1">
        <v>282</v>
      </c>
      <c r="V162" s="5">
        <v>44414</v>
      </c>
      <c r="W162" s="5">
        <v>44145</v>
      </c>
      <c r="X162" s="1">
        <v>8495000</v>
      </c>
      <c r="AB162" s="1" t="s">
        <v>44</v>
      </c>
      <c r="AF162" s="1">
        <v>10001</v>
      </c>
      <c r="AI162" s="1" t="s">
        <v>93</v>
      </c>
      <c r="AJ162" s="1">
        <v>2016</v>
      </c>
      <c r="AK162" s="1" t="s">
        <v>81</v>
      </c>
      <c r="AL162" s="1">
        <v>19</v>
      </c>
    </row>
    <row r="163" spans="1:38" x14ac:dyDescent="0.2">
      <c r="A163" s="2" t="str">
        <f>HYPERLINK("https://www.compass.com/listing/200-amsterdam-avenue-unit-20c-manhattan-ny-10023/338618573379128641/","200 Amsterdam Ave, Unit 20C")</f>
        <v>200 Amsterdam Ave, Unit 20C</v>
      </c>
      <c r="B163" s="2" t="str">
        <f t="shared" ref="B163:B168" si="25">HYPERLINK("https://www.compass.com/building/200-amsterdam-manhattan-ny/344157234608153717/","200 Amsterdam")</f>
        <v>200 Amsterdam</v>
      </c>
      <c r="C163" s="1" t="s">
        <v>47</v>
      </c>
      <c r="D163" s="1" t="s">
        <v>41</v>
      </c>
      <c r="E163" s="3">
        <v>3100000</v>
      </c>
      <c r="F163" s="1">
        <v>2403.10077519379</v>
      </c>
      <c r="G163" s="1">
        <v>3.5</v>
      </c>
      <c r="H163" s="1">
        <v>1</v>
      </c>
      <c r="I163" s="1">
        <v>2</v>
      </c>
      <c r="J163" s="1">
        <v>2</v>
      </c>
      <c r="K163" s="1">
        <v>2</v>
      </c>
      <c r="M163" s="4">
        <v>1290</v>
      </c>
      <c r="N163" s="1">
        <v>1569</v>
      </c>
      <c r="O163" s="1">
        <v>4037</v>
      </c>
      <c r="P163" s="1">
        <v>2468</v>
      </c>
      <c r="Q163" s="1" t="s">
        <v>42</v>
      </c>
      <c r="S163" s="1" t="s">
        <v>42</v>
      </c>
      <c r="T163" s="1" t="s">
        <v>48</v>
      </c>
      <c r="U163" s="1">
        <v>615</v>
      </c>
      <c r="V163" s="5">
        <v>44419</v>
      </c>
      <c r="W163" s="5">
        <v>43718</v>
      </c>
      <c r="X163" s="1">
        <v>3100000</v>
      </c>
      <c r="AB163" s="1" t="s">
        <v>44</v>
      </c>
      <c r="AF163" s="1">
        <v>10023</v>
      </c>
      <c r="AI163" s="1" t="s">
        <v>58</v>
      </c>
      <c r="AJ163" s="1">
        <v>2021</v>
      </c>
      <c r="AK163" s="1" t="s">
        <v>81</v>
      </c>
      <c r="AL163" s="1">
        <v>112</v>
      </c>
    </row>
    <row r="164" spans="1:38" x14ac:dyDescent="0.2">
      <c r="A164" s="2" t="str">
        <f>HYPERLINK("https://www.compass.com/listing/200-amsterdam-avenue-unit-26c-manhattan-ny-10023/430071593734781561/","200 Amsterdam Ave, Unit 26C")</f>
        <v>200 Amsterdam Ave, Unit 26C</v>
      </c>
      <c r="B164" s="2" t="str">
        <f t="shared" si="25"/>
        <v>200 Amsterdam</v>
      </c>
      <c r="C164" s="1" t="s">
        <v>47</v>
      </c>
      <c r="D164" s="1" t="s">
        <v>41</v>
      </c>
      <c r="E164" s="3">
        <v>6250000</v>
      </c>
      <c r="F164" s="1">
        <v>2987.5717017208399</v>
      </c>
      <c r="G164" s="1">
        <v>4.5</v>
      </c>
      <c r="H164" s="1">
        <v>2</v>
      </c>
      <c r="I164" s="1">
        <v>3</v>
      </c>
      <c r="J164" s="1">
        <v>2.5</v>
      </c>
      <c r="K164" s="1">
        <v>2</v>
      </c>
      <c r="L164" s="1">
        <v>1</v>
      </c>
      <c r="M164" s="4">
        <v>2092</v>
      </c>
      <c r="N164" s="1">
        <v>2272</v>
      </c>
      <c r="O164" s="1">
        <v>5845</v>
      </c>
      <c r="P164" s="1">
        <v>3573</v>
      </c>
      <c r="Q164" s="1" t="s">
        <v>42</v>
      </c>
      <c r="S164" s="1" t="s">
        <v>42</v>
      </c>
      <c r="T164" s="1" t="s">
        <v>48</v>
      </c>
      <c r="U164" s="1">
        <v>93</v>
      </c>
      <c r="V164" s="5">
        <v>44351</v>
      </c>
      <c r="W164" s="5">
        <v>44334</v>
      </c>
      <c r="X164" s="1">
        <v>6250000</v>
      </c>
      <c r="AB164" s="1" t="s">
        <v>44</v>
      </c>
      <c r="AF164" s="1">
        <v>10023</v>
      </c>
      <c r="AI164" s="1" t="s">
        <v>58</v>
      </c>
      <c r="AJ164" s="1">
        <v>2021</v>
      </c>
      <c r="AK164" s="1" t="s">
        <v>81</v>
      </c>
      <c r="AL164" s="1">
        <v>112</v>
      </c>
    </row>
    <row r="165" spans="1:38" x14ac:dyDescent="0.2">
      <c r="A165" s="2" t="str">
        <f>HYPERLINK("https://www.compass.com/listing/200-amsterdam-avenue-unit-ph2-manhattan-ny-10023/791261881073950217/","200 Amsterdam Ave, Unit PH2")</f>
        <v>200 Amsterdam Ave, Unit PH2</v>
      </c>
      <c r="B165" s="2" t="str">
        <f t="shared" si="25"/>
        <v>200 Amsterdam</v>
      </c>
      <c r="C165" s="1" t="s">
        <v>47</v>
      </c>
      <c r="D165" s="1" t="s">
        <v>41</v>
      </c>
      <c r="E165" s="3">
        <v>38000000</v>
      </c>
      <c r="F165" s="1">
        <v>6007.9051383399201</v>
      </c>
      <c r="G165" s="1">
        <v>7.5</v>
      </c>
      <c r="H165" s="1">
        <v>4</v>
      </c>
      <c r="I165" s="1">
        <v>5</v>
      </c>
      <c r="J165" s="1">
        <v>4.5</v>
      </c>
      <c r="K165" s="1">
        <v>4</v>
      </c>
      <c r="L165" s="1">
        <v>1</v>
      </c>
      <c r="M165" s="4">
        <v>6325</v>
      </c>
      <c r="N165" s="1">
        <v>9943</v>
      </c>
      <c r="O165" s="1">
        <v>25577</v>
      </c>
      <c r="P165" s="1">
        <v>15634</v>
      </c>
      <c r="Q165" s="1" t="s">
        <v>42</v>
      </c>
      <c r="S165" s="1" t="s">
        <v>42</v>
      </c>
      <c r="T165" s="1" t="s">
        <v>48</v>
      </c>
      <c r="U165" s="1">
        <v>84</v>
      </c>
      <c r="V165" s="5">
        <v>44370</v>
      </c>
      <c r="W165" s="5">
        <v>44343</v>
      </c>
      <c r="X165" s="1">
        <v>38000000</v>
      </c>
      <c r="AB165" s="1" t="s">
        <v>44</v>
      </c>
      <c r="AF165" s="1">
        <v>10023</v>
      </c>
      <c r="AI165" s="1" t="s">
        <v>93</v>
      </c>
      <c r="AJ165" s="1">
        <v>2021</v>
      </c>
      <c r="AK165" s="1" t="s">
        <v>81</v>
      </c>
      <c r="AL165" s="1">
        <v>112</v>
      </c>
    </row>
    <row r="166" spans="1:38" x14ac:dyDescent="0.2">
      <c r="A166" s="2" t="str">
        <f>HYPERLINK("https://www.compass.com/listing/200-amsterdam-avenue-unit-46-manhattan-ny-10023/784746635295123745/","200 Amsterdam Ave, Unit 46")</f>
        <v>200 Amsterdam Ave, Unit 46</v>
      </c>
      <c r="B166" s="2" t="str">
        <f t="shared" si="25"/>
        <v>200 Amsterdam</v>
      </c>
      <c r="C166" s="1" t="s">
        <v>47</v>
      </c>
      <c r="D166" s="1" t="s">
        <v>41</v>
      </c>
      <c r="E166" s="3">
        <v>17900000</v>
      </c>
      <c r="F166" s="1">
        <v>4551.2331553521399</v>
      </c>
      <c r="G166" s="1">
        <v>5.5</v>
      </c>
      <c r="H166" s="1">
        <v>3</v>
      </c>
      <c r="I166" s="1">
        <v>4</v>
      </c>
      <c r="J166" s="1">
        <v>3.5</v>
      </c>
      <c r="K166" s="1">
        <v>3</v>
      </c>
      <c r="L166" s="1">
        <v>1</v>
      </c>
      <c r="M166" s="4">
        <v>3933</v>
      </c>
      <c r="N166" s="1">
        <v>5355</v>
      </c>
      <c r="O166" s="1">
        <v>12665</v>
      </c>
      <c r="P166" s="1">
        <v>7310</v>
      </c>
      <c r="Q166" s="1" t="s">
        <v>42</v>
      </c>
      <c r="S166" s="1" t="s">
        <v>42</v>
      </c>
      <c r="T166" s="1" t="s">
        <v>48</v>
      </c>
      <c r="U166" s="1">
        <v>93</v>
      </c>
      <c r="V166" s="5">
        <v>44350</v>
      </c>
      <c r="W166" s="5">
        <v>44334</v>
      </c>
      <c r="X166" s="1">
        <v>17000000</v>
      </c>
      <c r="AB166" s="1" t="s">
        <v>44</v>
      </c>
      <c r="AF166" s="1">
        <v>10023</v>
      </c>
      <c r="AI166" s="1" t="s">
        <v>58</v>
      </c>
      <c r="AJ166" s="1">
        <v>2021</v>
      </c>
      <c r="AK166" s="1" t="s">
        <v>81</v>
      </c>
      <c r="AL166" s="1">
        <v>112</v>
      </c>
    </row>
    <row r="167" spans="1:38" x14ac:dyDescent="0.2">
      <c r="A167" s="2" t="str">
        <f>HYPERLINK("https://www.compass.com/listing/200-amsterdam-avenue-unit-25b-manhattan-ny-10023/785555131663459225/","200 Amsterdam Ave, Unit 25B")</f>
        <v>200 Amsterdam Ave, Unit 25B</v>
      </c>
      <c r="B167" s="2" t="str">
        <f t="shared" si="25"/>
        <v>200 Amsterdam</v>
      </c>
      <c r="C167" s="1" t="s">
        <v>47</v>
      </c>
      <c r="D167" s="1" t="s">
        <v>41</v>
      </c>
      <c r="E167" s="3">
        <v>7360000</v>
      </c>
      <c r="F167" s="1">
        <v>3313.8226024313299</v>
      </c>
      <c r="G167" s="1">
        <v>5.5</v>
      </c>
      <c r="H167" s="1">
        <v>3</v>
      </c>
      <c r="I167" s="1">
        <v>4</v>
      </c>
      <c r="J167" s="1">
        <v>3.5</v>
      </c>
      <c r="K167" s="1">
        <v>3</v>
      </c>
      <c r="L167" s="1">
        <v>1</v>
      </c>
      <c r="M167" s="4">
        <v>2221</v>
      </c>
      <c r="N167" s="1">
        <v>2564</v>
      </c>
      <c r="O167" s="1">
        <v>6595</v>
      </c>
      <c r="P167" s="1">
        <v>4031</v>
      </c>
      <c r="Q167" s="1" t="s">
        <v>42</v>
      </c>
      <c r="S167" s="1" t="s">
        <v>42</v>
      </c>
      <c r="T167" s="1" t="s">
        <v>48</v>
      </c>
      <c r="U167" s="1">
        <v>93</v>
      </c>
      <c r="V167" s="5">
        <v>44351</v>
      </c>
      <c r="W167" s="5">
        <v>44334</v>
      </c>
      <c r="X167" s="1">
        <v>7360000</v>
      </c>
      <c r="AB167" s="1" t="s">
        <v>44</v>
      </c>
      <c r="AF167" s="1">
        <v>10023</v>
      </c>
      <c r="AI167" s="1" t="s">
        <v>93</v>
      </c>
      <c r="AJ167" s="1">
        <v>2021</v>
      </c>
      <c r="AK167" s="1" t="s">
        <v>81</v>
      </c>
      <c r="AL167" s="1">
        <v>112</v>
      </c>
    </row>
    <row r="168" spans="1:38" x14ac:dyDescent="0.2">
      <c r="A168" s="2" t="str">
        <f>HYPERLINK("https://www.compass.com/listing/200-amsterdam-avenue-unit-26a-manhattan-ny-10023/784746414410839257/","200 Amsterdam Ave, Unit 26A")</f>
        <v>200 Amsterdam Ave, Unit 26A</v>
      </c>
      <c r="B168" s="2" t="str">
        <f t="shared" si="25"/>
        <v>200 Amsterdam</v>
      </c>
      <c r="C168" s="1" t="s">
        <v>47</v>
      </c>
      <c r="D168" s="1" t="s">
        <v>41</v>
      </c>
      <c r="E168" s="3">
        <v>8800000</v>
      </c>
      <c r="F168" s="1">
        <v>3398.9957512553101</v>
      </c>
      <c r="G168" s="1">
        <v>6.5</v>
      </c>
      <c r="H168" s="1">
        <v>4</v>
      </c>
      <c r="I168" s="1">
        <v>5</v>
      </c>
      <c r="J168" s="1">
        <v>4.5</v>
      </c>
      <c r="K168" s="1">
        <v>4</v>
      </c>
      <c r="L168" s="1">
        <v>1</v>
      </c>
      <c r="M168" s="4">
        <v>2589</v>
      </c>
      <c r="N168" s="1">
        <v>2941</v>
      </c>
      <c r="O168" s="1">
        <v>7565</v>
      </c>
      <c r="P168" s="1">
        <v>4624</v>
      </c>
      <c r="Q168" s="1" t="s">
        <v>42</v>
      </c>
      <c r="S168" s="1" t="s">
        <v>42</v>
      </c>
      <c r="T168" s="1" t="s">
        <v>48</v>
      </c>
      <c r="U168" s="1">
        <v>93</v>
      </c>
      <c r="V168" s="5">
        <v>44351</v>
      </c>
      <c r="W168" s="5">
        <v>44334</v>
      </c>
      <c r="X168" s="1">
        <v>8020000</v>
      </c>
      <c r="AB168" s="1" t="s">
        <v>44</v>
      </c>
      <c r="AF168" s="1">
        <v>10023</v>
      </c>
      <c r="AI168" s="1" t="s">
        <v>58</v>
      </c>
      <c r="AJ168" s="1">
        <v>2021</v>
      </c>
      <c r="AK168" s="1" t="s">
        <v>81</v>
      </c>
      <c r="AL168" s="1">
        <v>112</v>
      </c>
    </row>
    <row r="169" spans="1:38" x14ac:dyDescent="0.2">
      <c r="A169" s="2" t="str">
        <f>HYPERLINK("https://www.compass.com/listing/40-east-end-avenue-unit-4c-manhattan-ny-10028/804304175269652753/","40 E End Ave, Unit 4C")</f>
        <v>40 E End Ave, Unit 4C</v>
      </c>
      <c r="B169" s="2" t="str">
        <f>HYPERLINK("https://www.compass.com/building/40-e-end-ave-manhattan-ny-10028/281986569399806037/","40 E End Ave")</f>
        <v>40 E End Ave</v>
      </c>
      <c r="C169" s="1" t="s">
        <v>53</v>
      </c>
      <c r="D169" s="1" t="s">
        <v>41</v>
      </c>
      <c r="E169" s="3">
        <v>4865990</v>
      </c>
      <c r="F169" s="1">
        <v>2200.8095884215199</v>
      </c>
      <c r="G169" s="1">
        <v>6.5</v>
      </c>
      <c r="H169" s="1">
        <v>3</v>
      </c>
      <c r="I169" s="1">
        <v>4</v>
      </c>
      <c r="J169" s="1">
        <v>3.5</v>
      </c>
      <c r="K169" s="1">
        <v>3</v>
      </c>
      <c r="L169" s="1">
        <v>1</v>
      </c>
      <c r="M169" s="4">
        <v>2211</v>
      </c>
      <c r="N169" s="1">
        <v>2235</v>
      </c>
      <c r="O169" s="1">
        <v>5431</v>
      </c>
      <c r="P169" s="1">
        <v>3196</v>
      </c>
      <c r="Q169" s="1" t="s">
        <v>42</v>
      </c>
      <c r="S169" s="1" t="s">
        <v>42</v>
      </c>
      <c r="T169" s="1" t="s">
        <v>48</v>
      </c>
      <c r="U169" s="1">
        <v>66</v>
      </c>
      <c r="V169" s="5">
        <v>44421</v>
      </c>
      <c r="W169" s="5">
        <v>44361</v>
      </c>
      <c r="X169" s="1">
        <v>4865990</v>
      </c>
      <c r="AB169" s="1" t="s">
        <v>44</v>
      </c>
      <c r="AF169" s="1">
        <v>10028</v>
      </c>
      <c r="AJ169" s="1">
        <v>2019</v>
      </c>
      <c r="AK169" s="1" t="s">
        <v>81</v>
      </c>
      <c r="AL169" s="1">
        <v>29</v>
      </c>
    </row>
    <row r="170" spans="1:38" x14ac:dyDescent="0.2">
      <c r="A170" s="2" t="str">
        <f>HYPERLINK("https://www.compass.com/listing/200-amsterdam-avenue-unit-18a-manhattan-ny-10023/338618570040169889/","200 Amsterdam Ave, Unit 18A")</f>
        <v>200 Amsterdam Ave, Unit 18A</v>
      </c>
      <c r="B170" s="2" t="str">
        <f t="shared" ref="B170:B178" si="26">HYPERLINK("https://www.compass.com/building/200-amsterdam-manhattan-ny/344157234608153717/","200 Amsterdam")</f>
        <v>200 Amsterdam</v>
      </c>
      <c r="C170" s="1" t="s">
        <v>47</v>
      </c>
      <c r="D170" s="1" t="s">
        <v>41</v>
      </c>
      <c r="E170" s="3">
        <v>4450000</v>
      </c>
      <c r="F170" s="1">
        <v>2515.54550593555</v>
      </c>
      <c r="G170" s="1">
        <v>4</v>
      </c>
      <c r="H170" s="1">
        <v>2</v>
      </c>
      <c r="I170" s="1">
        <v>3</v>
      </c>
      <c r="J170" s="1">
        <v>2.5</v>
      </c>
      <c r="K170" s="1">
        <v>2</v>
      </c>
      <c r="L170" s="1">
        <v>1</v>
      </c>
      <c r="M170" s="4">
        <v>1769</v>
      </c>
      <c r="N170" s="1">
        <v>1841</v>
      </c>
      <c r="O170" s="1">
        <v>4825</v>
      </c>
      <c r="P170" s="1">
        <v>2984</v>
      </c>
      <c r="Q170" s="1" t="s">
        <v>42</v>
      </c>
      <c r="S170" s="1" t="s">
        <v>42</v>
      </c>
      <c r="T170" s="1" t="s">
        <v>48</v>
      </c>
      <c r="U170" s="1">
        <v>615</v>
      </c>
      <c r="V170" s="5">
        <v>44384</v>
      </c>
      <c r="W170" s="5">
        <v>43718</v>
      </c>
      <c r="X170" s="1">
        <v>4450000</v>
      </c>
      <c r="AB170" s="1" t="s">
        <v>44</v>
      </c>
      <c r="AF170" s="1">
        <v>10023</v>
      </c>
      <c r="AI170" s="1" t="s">
        <v>58</v>
      </c>
      <c r="AJ170" s="1">
        <v>2021</v>
      </c>
      <c r="AK170" s="1" t="s">
        <v>81</v>
      </c>
      <c r="AL170" s="1">
        <v>112</v>
      </c>
    </row>
    <row r="171" spans="1:38" x14ac:dyDescent="0.2">
      <c r="A171" s="2" t="str">
        <f>HYPERLINK("https://www.compass.com/listing/200-amsterdam-avenue-unit-8c-manhattan-ny-10023/766570167987295177/","200 Amsterdam Ave, Unit 8C")</f>
        <v>200 Amsterdam Ave, Unit 8C</v>
      </c>
      <c r="B171" s="2" t="str">
        <f t="shared" si="26"/>
        <v>200 Amsterdam</v>
      </c>
      <c r="C171" s="1" t="s">
        <v>47</v>
      </c>
      <c r="D171" s="1" t="s">
        <v>41</v>
      </c>
      <c r="E171" s="3">
        <v>4995000</v>
      </c>
      <c r="F171" s="1">
        <v>2049.65121050471</v>
      </c>
      <c r="G171" s="1">
        <v>5.5</v>
      </c>
      <c r="H171" s="1">
        <v>3</v>
      </c>
      <c r="I171" s="1">
        <v>4</v>
      </c>
      <c r="J171" s="1">
        <v>3.5</v>
      </c>
      <c r="K171" s="1">
        <v>3</v>
      </c>
      <c r="L171" s="1">
        <v>1</v>
      </c>
      <c r="M171" s="4">
        <v>2437</v>
      </c>
      <c r="N171" s="1">
        <v>2431</v>
      </c>
      <c r="O171" s="1">
        <v>6253</v>
      </c>
      <c r="P171" s="1">
        <v>3822</v>
      </c>
      <c r="Q171" s="1" t="s">
        <v>42</v>
      </c>
      <c r="S171" s="1" t="s">
        <v>42</v>
      </c>
      <c r="T171" s="1" t="s">
        <v>48</v>
      </c>
      <c r="U171" s="1">
        <v>118</v>
      </c>
      <c r="V171" s="5">
        <v>44351</v>
      </c>
      <c r="W171" s="5">
        <v>44309</v>
      </c>
      <c r="X171" s="1">
        <v>4995000</v>
      </c>
      <c r="AB171" s="1" t="s">
        <v>44</v>
      </c>
      <c r="AF171" s="1">
        <v>10023</v>
      </c>
      <c r="AI171" s="1" t="s">
        <v>58</v>
      </c>
      <c r="AJ171" s="1">
        <v>2021</v>
      </c>
      <c r="AK171" s="1" t="s">
        <v>81</v>
      </c>
      <c r="AL171" s="1">
        <v>112</v>
      </c>
    </row>
    <row r="172" spans="1:38" x14ac:dyDescent="0.2">
      <c r="A172" s="2" t="str">
        <f>HYPERLINK("https://www.compass.com/listing/200-amsterdam-avenue-unit-19d-manhattan-ny-10023/753517060158183681/","200 Amsterdam Ave, Unit 19D")</f>
        <v>200 Amsterdam Ave, Unit 19D</v>
      </c>
      <c r="B172" s="2" t="str">
        <f t="shared" si="26"/>
        <v>200 Amsterdam</v>
      </c>
      <c r="C172" s="1" t="s">
        <v>47</v>
      </c>
      <c r="D172" s="1" t="s">
        <v>41</v>
      </c>
      <c r="E172" s="3">
        <v>6925000</v>
      </c>
      <c r="F172" s="1">
        <v>2841.6085350841199</v>
      </c>
      <c r="G172" s="1">
        <v>5.5</v>
      </c>
      <c r="H172" s="1">
        <v>3</v>
      </c>
      <c r="I172" s="1">
        <v>4</v>
      </c>
      <c r="J172" s="1">
        <v>3.5</v>
      </c>
      <c r="K172" s="1">
        <v>3</v>
      </c>
      <c r="L172" s="1">
        <v>1</v>
      </c>
      <c r="M172" s="4">
        <v>2437</v>
      </c>
      <c r="N172" s="1">
        <v>2283</v>
      </c>
      <c r="O172" s="1">
        <v>5873</v>
      </c>
      <c r="P172" s="1">
        <v>3590</v>
      </c>
      <c r="Q172" s="1" t="s">
        <v>42</v>
      </c>
      <c r="S172" s="1" t="s">
        <v>42</v>
      </c>
      <c r="T172" s="1" t="s">
        <v>48</v>
      </c>
      <c r="U172" s="1">
        <v>136</v>
      </c>
      <c r="V172" s="5">
        <v>44351</v>
      </c>
      <c r="W172" s="5">
        <v>44291</v>
      </c>
      <c r="X172" s="1">
        <v>6925000</v>
      </c>
      <c r="AB172" s="1" t="s">
        <v>44</v>
      </c>
      <c r="AF172" s="1">
        <v>10023</v>
      </c>
      <c r="AI172" s="1" t="s">
        <v>58</v>
      </c>
      <c r="AJ172" s="1">
        <v>2021</v>
      </c>
      <c r="AK172" s="1" t="s">
        <v>81</v>
      </c>
      <c r="AL172" s="1">
        <v>112</v>
      </c>
    </row>
    <row r="173" spans="1:38" x14ac:dyDescent="0.2">
      <c r="A173" s="2" t="str">
        <f>HYPERLINK("https://www.compass.com/listing/200-amsterdam-avenue-unit-12b-manhattan-ny-10023/753539916504901841/","200 Amsterdam Ave, Unit 12B")</f>
        <v>200 Amsterdam Ave, Unit 12B</v>
      </c>
      <c r="B173" s="2" t="str">
        <f t="shared" si="26"/>
        <v>200 Amsterdam</v>
      </c>
      <c r="C173" s="1" t="s">
        <v>47</v>
      </c>
      <c r="D173" s="1" t="s">
        <v>41</v>
      </c>
      <c r="E173" s="3">
        <v>5650000</v>
      </c>
      <c r="F173" s="1">
        <v>2360.0668337510401</v>
      </c>
      <c r="G173" s="1">
        <v>5.5</v>
      </c>
      <c r="H173" s="1">
        <v>3</v>
      </c>
      <c r="I173" s="1">
        <v>4</v>
      </c>
      <c r="J173" s="1">
        <v>3.5</v>
      </c>
      <c r="K173" s="1">
        <v>3</v>
      </c>
      <c r="L173" s="1">
        <v>1</v>
      </c>
      <c r="M173" s="4">
        <v>2394</v>
      </c>
      <c r="N173" s="1">
        <v>2536</v>
      </c>
      <c r="O173" s="1">
        <v>6523</v>
      </c>
      <c r="P173" s="1">
        <v>3987</v>
      </c>
      <c r="Q173" s="1" t="s">
        <v>42</v>
      </c>
      <c r="S173" s="1" t="s">
        <v>42</v>
      </c>
      <c r="T173" s="1" t="s">
        <v>48</v>
      </c>
      <c r="U173" s="1">
        <v>136</v>
      </c>
      <c r="V173" s="5">
        <v>44351</v>
      </c>
      <c r="W173" s="5">
        <v>44291</v>
      </c>
      <c r="X173" s="1">
        <v>5650000</v>
      </c>
      <c r="AB173" s="1" t="s">
        <v>44</v>
      </c>
      <c r="AF173" s="1">
        <v>10023</v>
      </c>
      <c r="AI173" s="1" t="s">
        <v>58</v>
      </c>
      <c r="AJ173" s="1">
        <v>2021</v>
      </c>
      <c r="AK173" s="1" t="s">
        <v>81</v>
      </c>
      <c r="AL173" s="1">
        <v>112</v>
      </c>
    </row>
    <row r="174" spans="1:38" x14ac:dyDescent="0.2">
      <c r="A174" s="2" t="str">
        <f>HYPERLINK("https://www.compass.com/listing/200-amsterdam-avenue-unit-26b-manhattan-ny-10023/338618571927607265/","200 Amsterdam Ave, Unit 26B")</f>
        <v>200 Amsterdam Ave, Unit 26B</v>
      </c>
      <c r="B174" s="2" t="str">
        <f t="shared" si="26"/>
        <v>200 Amsterdam</v>
      </c>
      <c r="C174" s="1" t="s">
        <v>47</v>
      </c>
      <c r="D174" s="1" t="s">
        <v>41</v>
      </c>
      <c r="E174" s="3">
        <v>6780000</v>
      </c>
      <c r="F174" s="1">
        <v>3052.6789734353802</v>
      </c>
      <c r="G174" s="1">
        <v>5</v>
      </c>
      <c r="H174" s="1">
        <v>3</v>
      </c>
      <c r="I174" s="1">
        <v>4</v>
      </c>
      <c r="J174" s="1">
        <v>3.5</v>
      </c>
      <c r="K174" s="1">
        <v>3</v>
      </c>
      <c r="L174" s="1">
        <v>1</v>
      </c>
      <c r="M174" s="4">
        <v>2221</v>
      </c>
      <c r="N174" s="1">
        <v>2456</v>
      </c>
      <c r="O174" s="1">
        <v>6318</v>
      </c>
      <c r="P174" s="1">
        <v>3862</v>
      </c>
      <c r="Q174" s="1" t="s">
        <v>42</v>
      </c>
      <c r="S174" s="1" t="s">
        <v>42</v>
      </c>
      <c r="T174" s="1" t="s">
        <v>48</v>
      </c>
      <c r="U174" s="1">
        <v>615</v>
      </c>
      <c r="V174" s="5">
        <v>44351</v>
      </c>
      <c r="W174" s="5">
        <v>43718</v>
      </c>
      <c r="X174" s="1">
        <v>6780000</v>
      </c>
      <c r="AB174" s="1" t="s">
        <v>44</v>
      </c>
      <c r="AF174" s="1">
        <v>10023</v>
      </c>
      <c r="AI174" s="1" t="s">
        <v>58</v>
      </c>
      <c r="AJ174" s="1">
        <v>2021</v>
      </c>
      <c r="AK174" s="1" t="s">
        <v>81</v>
      </c>
      <c r="AL174" s="1">
        <v>112</v>
      </c>
    </row>
    <row r="175" spans="1:38" x14ac:dyDescent="0.2">
      <c r="A175" s="2" t="str">
        <f>HYPERLINK("https://www.compass.com/listing/200-amsterdam-avenue-unit-12c-manhattan-ny-10023/338618571600586209/","200 Amsterdam Ave, Unit 12C")</f>
        <v>200 Amsterdam Ave, Unit 12C</v>
      </c>
      <c r="B175" s="2" t="str">
        <f t="shared" si="26"/>
        <v>200 Amsterdam</v>
      </c>
      <c r="C175" s="1" t="s">
        <v>47</v>
      </c>
      <c r="D175" s="1" t="s">
        <v>41</v>
      </c>
      <c r="E175" s="3">
        <v>5450000</v>
      </c>
      <c r="F175" s="1">
        <v>2239.1125718981102</v>
      </c>
      <c r="G175" s="1">
        <v>5.5</v>
      </c>
      <c r="H175" s="1">
        <v>3</v>
      </c>
      <c r="I175" s="1">
        <v>4</v>
      </c>
      <c r="J175" s="1">
        <v>3.5</v>
      </c>
      <c r="K175" s="1">
        <v>3</v>
      </c>
      <c r="L175" s="1">
        <v>1</v>
      </c>
      <c r="M175" s="4">
        <v>2434</v>
      </c>
      <c r="N175" s="1">
        <v>2466</v>
      </c>
      <c r="O175" s="1">
        <v>6344</v>
      </c>
      <c r="P175" s="1">
        <v>3878</v>
      </c>
      <c r="Q175" s="1" t="s">
        <v>42</v>
      </c>
      <c r="S175" s="1" t="s">
        <v>42</v>
      </c>
      <c r="T175" s="1" t="s">
        <v>48</v>
      </c>
      <c r="U175" s="1">
        <v>615</v>
      </c>
      <c r="V175" s="5">
        <v>44351</v>
      </c>
      <c r="W175" s="5">
        <v>43718</v>
      </c>
      <c r="X175" s="1">
        <v>5450000</v>
      </c>
      <c r="AB175" s="1" t="s">
        <v>44</v>
      </c>
      <c r="AF175" s="1">
        <v>10023</v>
      </c>
      <c r="AI175" s="1" t="s">
        <v>58</v>
      </c>
      <c r="AJ175" s="1">
        <v>2021</v>
      </c>
      <c r="AK175" s="1" t="s">
        <v>81</v>
      </c>
      <c r="AL175" s="1">
        <v>112</v>
      </c>
    </row>
    <row r="176" spans="1:38" x14ac:dyDescent="0.2">
      <c r="A176" s="2" t="str">
        <f>HYPERLINK("https://www.compass.com/listing/200-amsterdam-avenue-unit-4a-manhattan-ny-10023/753529361615575721/","200 Amsterdam Ave, Unit 4A")</f>
        <v>200 Amsterdam Ave, Unit 4A</v>
      </c>
      <c r="B176" s="2" t="str">
        <f t="shared" si="26"/>
        <v>200 Amsterdam</v>
      </c>
      <c r="C176" s="1" t="s">
        <v>47</v>
      </c>
      <c r="D176" s="1" t="s">
        <v>41</v>
      </c>
      <c r="E176" s="3">
        <v>8275000</v>
      </c>
      <c r="F176" s="1">
        <v>2391.6184971098201</v>
      </c>
      <c r="G176" s="1">
        <v>7.5</v>
      </c>
      <c r="H176" s="1">
        <v>5</v>
      </c>
      <c r="I176" s="1">
        <v>6</v>
      </c>
      <c r="J176" s="1">
        <v>5.5</v>
      </c>
      <c r="K176" s="1">
        <v>5</v>
      </c>
      <c r="L176" s="1">
        <v>1</v>
      </c>
      <c r="M176" s="4">
        <v>3460</v>
      </c>
      <c r="N176" s="1">
        <v>3448</v>
      </c>
      <c r="O176" s="1">
        <v>8870</v>
      </c>
      <c r="P176" s="1">
        <v>5422</v>
      </c>
      <c r="Q176" s="1" t="s">
        <v>42</v>
      </c>
      <c r="S176" s="1" t="s">
        <v>42</v>
      </c>
      <c r="T176" s="1" t="s">
        <v>48</v>
      </c>
      <c r="U176" s="1">
        <v>136</v>
      </c>
      <c r="V176" s="5">
        <v>44351</v>
      </c>
      <c r="W176" s="5">
        <v>44291</v>
      </c>
      <c r="X176" s="1">
        <v>8275000</v>
      </c>
      <c r="AB176" s="1" t="s">
        <v>44</v>
      </c>
      <c r="AF176" s="1">
        <v>10023</v>
      </c>
      <c r="AI176" s="1" t="s">
        <v>58</v>
      </c>
      <c r="AJ176" s="1">
        <v>2021</v>
      </c>
      <c r="AK176" s="1" t="s">
        <v>81</v>
      </c>
      <c r="AL176" s="1">
        <v>112</v>
      </c>
    </row>
    <row r="177" spans="1:38" x14ac:dyDescent="0.2">
      <c r="A177" s="2" t="str">
        <f>HYPERLINK("https://www.compass.com/listing/200-amsterdam-avenue-unit-12a-manhattan-ny-10023/753556149829431425/","200 Amsterdam Ave, Unit 12A")</f>
        <v>200 Amsterdam Ave, Unit 12A</v>
      </c>
      <c r="B177" s="2" t="str">
        <f t="shared" si="26"/>
        <v>200 Amsterdam</v>
      </c>
      <c r="C177" s="1" t="s">
        <v>47</v>
      </c>
      <c r="D177" s="1" t="s">
        <v>41</v>
      </c>
      <c r="E177" s="3">
        <v>7300000</v>
      </c>
      <c r="F177" s="1">
        <v>2556.0224089635799</v>
      </c>
      <c r="G177" s="1">
        <v>6.5</v>
      </c>
      <c r="H177" s="1">
        <v>4</v>
      </c>
      <c r="I177" s="1">
        <v>5</v>
      </c>
      <c r="J177" s="1">
        <v>4.5</v>
      </c>
      <c r="K177" s="1">
        <v>4</v>
      </c>
      <c r="L177" s="1">
        <v>1</v>
      </c>
      <c r="M177" s="4">
        <v>2856</v>
      </c>
      <c r="N177" s="1">
        <v>2963</v>
      </c>
      <c r="O177" s="1">
        <v>7622</v>
      </c>
      <c r="P177" s="1">
        <v>4659</v>
      </c>
      <c r="Q177" s="1" t="s">
        <v>42</v>
      </c>
      <c r="S177" s="1" t="s">
        <v>42</v>
      </c>
      <c r="T177" s="1" t="s">
        <v>48</v>
      </c>
      <c r="U177" s="1">
        <v>136</v>
      </c>
      <c r="V177" s="5">
        <v>44351</v>
      </c>
      <c r="W177" s="5">
        <v>44291</v>
      </c>
      <c r="X177" s="1">
        <v>7300000</v>
      </c>
      <c r="AB177" s="1" t="s">
        <v>44</v>
      </c>
      <c r="AF177" s="1">
        <v>10023</v>
      </c>
      <c r="AI177" s="1" t="s">
        <v>58</v>
      </c>
      <c r="AJ177" s="1">
        <v>2021</v>
      </c>
      <c r="AK177" s="1" t="s">
        <v>81</v>
      </c>
      <c r="AL177" s="1">
        <v>112</v>
      </c>
    </row>
    <row r="178" spans="1:38" x14ac:dyDescent="0.2">
      <c r="A178" s="2" t="str">
        <f>HYPERLINK("https://www.compass.com/listing/200-amsterdam-avenue-unit-42-manhattan-ny-10023/338618573622241057/","200 Amsterdam Ave, Unit 42")</f>
        <v>200 Amsterdam Ave, Unit 42</v>
      </c>
      <c r="B178" s="2" t="str">
        <f t="shared" si="26"/>
        <v>200 Amsterdam</v>
      </c>
      <c r="C178" s="1" t="s">
        <v>47</v>
      </c>
      <c r="D178" s="1" t="s">
        <v>41</v>
      </c>
      <c r="E178" s="3">
        <v>22000000</v>
      </c>
      <c r="F178" s="1">
        <v>4708.9041095890398</v>
      </c>
      <c r="G178" s="1">
        <v>6</v>
      </c>
      <c r="H178" s="1">
        <v>4</v>
      </c>
      <c r="I178" s="1">
        <v>5</v>
      </c>
      <c r="J178" s="1">
        <v>4.5</v>
      </c>
      <c r="K178" s="1">
        <v>4</v>
      </c>
      <c r="L178" s="1">
        <v>1</v>
      </c>
      <c r="M178" s="4">
        <v>4672</v>
      </c>
      <c r="N178" s="1">
        <v>6518</v>
      </c>
      <c r="O178" s="1">
        <v>16766</v>
      </c>
      <c r="P178" s="1">
        <v>10248</v>
      </c>
      <c r="Q178" s="1" t="s">
        <v>42</v>
      </c>
      <c r="S178" s="1" t="s">
        <v>42</v>
      </c>
      <c r="T178" s="1" t="s">
        <v>48</v>
      </c>
      <c r="U178" s="1">
        <v>125</v>
      </c>
      <c r="V178" s="5">
        <v>44351</v>
      </c>
      <c r="W178" s="5">
        <v>43718</v>
      </c>
      <c r="X178" s="1">
        <v>21000000</v>
      </c>
      <c r="AB178" s="1" t="s">
        <v>44</v>
      </c>
      <c r="AF178" s="1">
        <v>10023</v>
      </c>
      <c r="AI178" s="1" t="s">
        <v>58</v>
      </c>
      <c r="AJ178" s="1">
        <v>2021</v>
      </c>
      <c r="AK178" s="1" t="s">
        <v>81</v>
      </c>
      <c r="AL178" s="1">
        <v>112</v>
      </c>
    </row>
    <row r="179" spans="1:38" x14ac:dyDescent="0.2">
      <c r="A179" s="2" t="str">
        <f>HYPERLINK("https://www.compass.com/listing/520-west-45th-street-unit-5d-manhattan-ny-10036/804389403560281065/","520 W 45th St, Unit 5D")</f>
        <v>520 W 45th St, Unit 5D</v>
      </c>
      <c r="B179" s="2" t="str">
        <f>HYPERLINK("https://www.compass.com/building/inkwell-manhattan-ny/282026081983148485/","Inkwell")</f>
        <v>Inkwell</v>
      </c>
      <c r="C179" s="1" t="s">
        <v>57</v>
      </c>
      <c r="D179" s="1" t="s">
        <v>41</v>
      </c>
      <c r="E179" s="3">
        <v>2399000</v>
      </c>
      <c r="F179" s="1">
        <v>1981.0074318744801</v>
      </c>
      <c r="G179" s="1">
        <v>4.5</v>
      </c>
      <c r="H179" s="1">
        <v>2</v>
      </c>
      <c r="I179" s="1">
        <v>2</v>
      </c>
      <c r="J179" s="1">
        <v>2</v>
      </c>
      <c r="K179" s="1">
        <v>2</v>
      </c>
      <c r="M179" s="4">
        <v>1211</v>
      </c>
      <c r="N179" s="1">
        <v>1877</v>
      </c>
      <c r="O179" s="1">
        <v>3868</v>
      </c>
      <c r="P179" s="1">
        <v>1991</v>
      </c>
      <c r="Q179" s="1" t="s">
        <v>42</v>
      </c>
      <c r="S179" s="1" t="s">
        <v>42</v>
      </c>
      <c r="T179" s="1" t="s">
        <v>48</v>
      </c>
      <c r="U179" s="1">
        <v>66</v>
      </c>
      <c r="V179" s="5">
        <v>44425</v>
      </c>
      <c r="W179" s="5">
        <v>44361</v>
      </c>
      <c r="X179" s="1">
        <v>2399000</v>
      </c>
      <c r="AB179" s="1" t="s">
        <v>44</v>
      </c>
      <c r="AF179" s="1">
        <v>10036</v>
      </c>
      <c r="AI179" s="1" t="s">
        <v>149</v>
      </c>
      <c r="AJ179" s="1">
        <v>1905</v>
      </c>
      <c r="AK179" s="1" t="s">
        <v>137</v>
      </c>
      <c r="AL179" s="1">
        <v>18</v>
      </c>
    </row>
    <row r="180" spans="1:38" x14ac:dyDescent="0.2">
      <c r="A180" s="2" t="str">
        <f>HYPERLINK("https://www.compass.com/listing/40-east-end-avenue-unit-12a-manhattan-ny-10028/796688020890416305/","40 E End Ave, Unit 12A")</f>
        <v>40 E End Ave, Unit 12A</v>
      </c>
      <c r="B180" s="2" t="str">
        <f>HYPERLINK("https://www.compass.com/building/40-e-end-ave-manhattan-ny-10028/281986569399806037/","40 E End Ave")</f>
        <v>40 E End Ave</v>
      </c>
      <c r="C180" s="1" t="s">
        <v>53</v>
      </c>
      <c r="D180" s="1" t="s">
        <v>41</v>
      </c>
      <c r="E180" s="3">
        <v>5800990</v>
      </c>
      <c r="F180" s="1">
        <v>2602.5078510542799</v>
      </c>
      <c r="G180" s="1">
        <v>5.5</v>
      </c>
      <c r="H180" s="1">
        <v>3</v>
      </c>
      <c r="I180" s="1">
        <v>4</v>
      </c>
      <c r="J180" s="1">
        <v>3.5</v>
      </c>
      <c r="K180" s="1">
        <v>3</v>
      </c>
      <c r="L180" s="1">
        <v>1</v>
      </c>
      <c r="M180" s="4">
        <v>2229</v>
      </c>
      <c r="N180" s="1">
        <v>2398</v>
      </c>
      <c r="O180" s="1">
        <v>5827</v>
      </c>
      <c r="P180" s="1">
        <v>3429</v>
      </c>
      <c r="Q180" s="1" t="s">
        <v>42</v>
      </c>
      <c r="S180" s="1" t="s">
        <v>42</v>
      </c>
      <c r="T180" s="1" t="s">
        <v>48</v>
      </c>
      <c r="U180" s="1">
        <v>77</v>
      </c>
      <c r="V180" s="5">
        <v>44425</v>
      </c>
      <c r="W180" s="5">
        <v>44350</v>
      </c>
      <c r="X180" s="1">
        <v>5800990</v>
      </c>
      <c r="AB180" s="1" t="s">
        <v>44</v>
      </c>
      <c r="AF180" s="1">
        <v>10028</v>
      </c>
      <c r="AI180" s="1" t="s">
        <v>150</v>
      </c>
      <c r="AJ180" s="1">
        <v>2019</v>
      </c>
      <c r="AK180" s="1" t="s">
        <v>81</v>
      </c>
      <c r="AL180" s="1">
        <v>29</v>
      </c>
    </row>
    <row r="181" spans="1:38" x14ac:dyDescent="0.2">
      <c r="A181" s="2" t="str">
        <f>HYPERLINK("https://www.compass.com/listing/50-west-30th-street-unit-9c-manhattan-ny-10001/561515029797861305/","50 W 30th St, Unit 9C")</f>
        <v>50 W 30th St, Unit 9C</v>
      </c>
      <c r="B181" s="2" t="str">
        <f>HYPERLINK("https://www.compass.com/building/the-noma-manhattan-ny/282058879016139621/","The NOMA")</f>
        <v>The NOMA</v>
      </c>
      <c r="C181" s="1" t="s">
        <v>95</v>
      </c>
      <c r="D181" s="1" t="s">
        <v>41</v>
      </c>
      <c r="E181" s="3">
        <v>1380000</v>
      </c>
      <c r="F181" s="1">
        <v>2032.40058910162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M181" s="1">
        <v>679</v>
      </c>
      <c r="N181" s="1">
        <v>858</v>
      </c>
      <c r="O181" s="1">
        <v>1620</v>
      </c>
      <c r="P181" s="1">
        <v>762</v>
      </c>
      <c r="S181" s="1" t="s">
        <v>42</v>
      </c>
      <c r="T181" s="1" t="s">
        <v>48</v>
      </c>
      <c r="U181" s="1">
        <v>401</v>
      </c>
      <c r="V181" s="5">
        <v>44425</v>
      </c>
      <c r="W181" s="5">
        <v>44025</v>
      </c>
      <c r="X181" s="1">
        <v>1380000</v>
      </c>
      <c r="AB181" s="1" t="s">
        <v>44</v>
      </c>
      <c r="AF181" s="1">
        <v>10001</v>
      </c>
      <c r="AI181" s="1" t="s">
        <v>151</v>
      </c>
      <c r="AJ181" s="1">
        <v>2017</v>
      </c>
      <c r="AK181" s="1" t="s">
        <v>55</v>
      </c>
      <c r="AL181" s="1">
        <v>55</v>
      </c>
    </row>
    <row r="182" spans="1:38" x14ac:dyDescent="0.2">
      <c r="A182" s="2" t="str">
        <f>HYPERLINK("https://www.compass.com/listing/40-east-end-avenue-unit-9b-manhattan-ny-10028/764625107642824865/","40 E End Ave, Unit 9B")</f>
        <v>40 E End Ave, Unit 9B</v>
      </c>
      <c r="B182" s="2" t="str">
        <f>HYPERLINK("https://www.compass.com/building/40-e-end-ave-manhattan-ny-10028/281986569399806037/","40 E End Ave")</f>
        <v>40 E End Ave</v>
      </c>
      <c r="C182" s="1" t="s">
        <v>53</v>
      </c>
      <c r="D182" s="1" t="s">
        <v>41</v>
      </c>
      <c r="E182" s="3">
        <v>4195990</v>
      </c>
      <c r="F182" s="1">
        <v>2141.90403266972</v>
      </c>
      <c r="G182" s="1">
        <v>5</v>
      </c>
      <c r="H182" s="1">
        <v>3</v>
      </c>
      <c r="I182" s="1">
        <v>3</v>
      </c>
      <c r="J182" s="1">
        <v>2.5</v>
      </c>
      <c r="K182" s="1">
        <v>2</v>
      </c>
      <c r="L182" s="1">
        <v>1</v>
      </c>
      <c r="M182" s="4">
        <v>1959</v>
      </c>
      <c r="N182" s="1">
        <v>2039</v>
      </c>
      <c r="O182" s="1">
        <v>4955</v>
      </c>
      <c r="P182" s="1">
        <v>2916</v>
      </c>
      <c r="Q182" s="1" t="s">
        <v>42</v>
      </c>
      <c r="S182" s="1" t="s">
        <v>42</v>
      </c>
      <c r="T182" s="1" t="s">
        <v>48</v>
      </c>
      <c r="U182" s="1">
        <v>121</v>
      </c>
      <c r="V182" s="5">
        <v>44426</v>
      </c>
      <c r="W182" s="5">
        <v>44306</v>
      </c>
      <c r="X182" s="1">
        <v>4495990</v>
      </c>
      <c r="AB182" s="1" t="s">
        <v>44</v>
      </c>
      <c r="AF182" s="1">
        <v>10028</v>
      </c>
      <c r="AI182" s="1" t="s">
        <v>152</v>
      </c>
      <c r="AJ182" s="1">
        <v>2019</v>
      </c>
      <c r="AK182" s="1" t="s">
        <v>81</v>
      </c>
      <c r="AL182" s="1">
        <v>29</v>
      </c>
    </row>
    <row r="183" spans="1:38" x14ac:dyDescent="0.2">
      <c r="A183" s="2" t="str">
        <f>HYPERLINK("https://www.compass.com/listing/301-west-53rd-street-unit-5d-manhattan-ny-10019/829730565691065225/","301 W 53rd St, Unit 5D")</f>
        <v>301 W 53rd St, Unit 5D</v>
      </c>
      <c r="B183" s="2" t="str">
        <f>HYPERLINK("https://www.compass.com/building/fifty-third-and-eighth-manhattan-ny/281944545158031557/","Fifty Third and Eighth")</f>
        <v>Fifty Third and Eighth</v>
      </c>
      <c r="C183" s="1" t="s">
        <v>57</v>
      </c>
      <c r="D183" s="1" t="s">
        <v>41</v>
      </c>
      <c r="E183" s="3">
        <v>1475000</v>
      </c>
      <c r="F183" s="1">
        <v>1869.45500633713</v>
      </c>
      <c r="G183" s="1">
        <v>4</v>
      </c>
      <c r="H183" s="1">
        <v>2</v>
      </c>
      <c r="I183" s="1">
        <v>1</v>
      </c>
      <c r="J183" s="1">
        <v>1</v>
      </c>
      <c r="K183" s="1">
        <v>1</v>
      </c>
      <c r="M183" s="1">
        <v>789</v>
      </c>
      <c r="N183" s="1">
        <v>700</v>
      </c>
      <c r="O183" s="1">
        <v>1953</v>
      </c>
      <c r="P183" s="1">
        <v>1253</v>
      </c>
      <c r="Q183" s="1" t="s">
        <v>42</v>
      </c>
      <c r="S183" s="1" t="s">
        <v>42</v>
      </c>
      <c r="T183" s="1" t="s">
        <v>48</v>
      </c>
      <c r="U183" s="1">
        <v>31</v>
      </c>
      <c r="V183" s="5">
        <v>44427</v>
      </c>
      <c r="W183" s="5">
        <v>44396</v>
      </c>
      <c r="X183" s="1">
        <v>1475000</v>
      </c>
      <c r="AB183" s="1" t="s">
        <v>44</v>
      </c>
      <c r="AF183" s="1">
        <v>10019</v>
      </c>
      <c r="AI183" s="1" t="s">
        <v>153</v>
      </c>
      <c r="AJ183" s="1">
        <v>2017</v>
      </c>
      <c r="AK183" s="1" t="s">
        <v>50</v>
      </c>
      <c r="AL183" s="1">
        <v>248</v>
      </c>
    </row>
    <row r="184" spans="1:38" x14ac:dyDescent="0.2">
      <c r="A184" s="2" t="str">
        <f>HYPERLINK("https://www.compass.com/listing/200-east-62nd-street-unit-10b-manhattan-ny-10065/687640909156173537/","200 E 62nd St, Unit 10B")</f>
        <v>200 E 62nd St, Unit 10B</v>
      </c>
      <c r="B184" s="2" t="str">
        <f>HYPERLINK("https://www.compass.com/building/200-e-62-manhattan-ny/282037506914928197/","200 E 62")</f>
        <v>200 E 62</v>
      </c>
      <c r="C184" s="1" t="s">
        <v>53</v>
      </c>
      <c r="D184" s="1" t="s">
        <v>41</v>
      </c>
      <c r="E184" s="3">
        <v>2949000</v>
      </c>
      <c r="F184" s="1">
        <v>1739.82300884955</v>
      </c>
      <c r="G184" s="1">
        <v>5.5</v>
      </c>
      <c r="H184" s="1">
        <v>2</v>
      </c>
      <c r="I184" s="1">
        <v>3</v>
      </c>
      <c r="J184" s="1">
        <v>2.5</v>
      </c>
      <c r="K184" s="1">
        <v>2</v>
      </c>
      <c r="L184" s="1">
        <v>1</v>
      </c>
      <c r="M184" s="4">
        <v>1695</v>
      </c>
      <c r="N184" s="1">
        <v>1746</v>
      </c>
      <c r="O184" s="1">
        <v>3948</v>
      </c>
      <c r="P184" s="1">
        <v>2202</v>
      </c>
      <c r="Q184" s="1" t="s">
        <v>143</v>
      </c>
      <c r="S184" s="1" t="s">
        <v>42</v>
      </c>
      <c r="T184" s="1" t="s">
        <v>48</v>
      </c>
      <c r="U184" s="1">
        <v>226</v>
      </c>
      <c r="V184" s="5">
        <v>44379</v>
      </c>
      <c r="W184" s="5">
        <v>44201</v>
      </c>
      <c r="X184" s="1">
        <v>3060000</v>
      </c>
      <c r="AB184" s="1" t="s">
        <v>44</v>
      </c>
      <c r="AF184" s="1">
        <v>10065</v>
      </c>
      <c r="AI184" s="1" t="s">
        <v>154</v>
      </c>
      <c r="AJ184" s="1">
        <v>1967</v>
      </c>
      <c r="AK184" s="1" t="s">
        <v>81</v>
      </c>
      <c r="AL184" s="1">
        <v>113</v>
      </c>
    </row>
    <row r="185" spans="1:38" x14ac:dyDescent="0.2">
      <c r="A185" s="2" t="str">
        <f>HYPERLINK("https://www.compass.com/listing/25-park-row-unit-39a-manhattan-ny-10038/841364855059409401/","25 Park Row, Unit 39A")</f>
        <v>25 Park Row, Unit 39A</v>
      </c>
      <c r="B185" s="2" t="str">
        <f>HYPERLINK("https://www.compass.com/building/25-park-row-manhattan-ny-10038/292920743539264837/","25 Park Row")</f>
        <v>25 Park Row</v>
      </c>
      <c r="C185" s="1" t="s">
        <v>155</v>
      </c>
      <c r="D185" s="1" t="s">
        <v>41</v>
      </c>
      <c r="E185" s="3">
        <v>3995000</v>
      </c>
      <c r="F185" s="1">
        <v>2473.6842105263099</v>
      </c>
      <c r="G185" s="1">
        <v>5</v>
      </c>
      <c r="H185" s="1">
        <v>2</v>
      </c>
      <c r="I185" s="1">
        <v>3</v>
      </c>
      <c r="J185" s="1">
        <v>2.5</v>
      </c>
      <c r="K185" s="1">
        <v>2</v>
      </c>
      <c r="L185" s="1">
        <v>1</v>
      </c>
      <c r="M185" s="4">
        <v>1615</v>
      </c>
      <c r="N185" s="1">
        <v>2340.9</v>
      </c>
      <c r="O185" s="1">
        <v>5849.37</v>
      </c>
      <c r="P185" s="1">
        <v>3508.5</v>
      </c>
      <c r="Q185" s="1" t="s">
        <v>42</v>
      </c>
      <c r="S185" s="1" t="s">
        <v>42</v>
      </c>
      <c r="T185" s="1" t="s">
        <v>48</v>
      </c>
      <c r="U185" s="1">
        <v>15</v>
      </c>
      <c r="V185" s="5">
        <v>44425</v>
      </c>
      <c r="W185" s="5">
        <v>44412</v>
      </c>
      <c r="X185" s="1">
        <v>3995000</v>
      </c>
      <c r="AB185" s="1" t="s">
        <v>44</v>
      </c>
      <c r="AF185" s="1">
        <v>10038</v>
      </c>
      <c r="AI185" s="1" t="s">
        <v>93</v>
      </c>
      <c r="AJ185" s="1">
        <v>2019</v>
      </c>
      <c r="AK185" s="1" t="s">
        <v>87</v>
      </c>
      <c r="AL185" s="1">
        <v>110</v>
      </c>
    </row>
    <row r="186" spans="1:38" x14ac:dyDescent="0.2">
      <c r="A186" s="2" t="str">
        <f>HYPERLINK("https://www.compass.com/listing/40-east-end-avenue-unit-ph17-manhattan-ny-10028/764655320499125065/","40 E End Ave, Unit PH17")</f>
        <v>40 E End Ave, Unit PH17</v>
      </c>
      <c r="B186" s="2" t="str">
        <f t="shared" ref="B186:B187" si="27">HYPERLINK("https://www.compass.com/building/40-e-end-ave-manhattan-ny-10028/281986569399806037/","40 E End Ave")</f>
        <v>40 E End Ave</v>
      </c>
      <c r="C186" s="1" t="s">
        <v>53</v>
      </c>
      <c r="D186" s="1" t="s">
        <v>41</v>
      </c>
      <c r="E186" s="3">
        <v>9985990</v>
      </c>
      <c r="F186" s="1">
        <v>3084.9521161569301</v>
      </c>
      <c r="G186" s="1">
        <v>6</v>
      </c>
      <c r="H186" s="1">
        <v>4</v>
      </c>
      <c r="I186" s="1">
        <v>5</v>
      </c>
      <c r="J186" s="1">
        <v>4.5</v>
      </c>
      <c r="K186" s="1">
        <v>4</v>
      </c>
      <c r="L186" s="1">
        <v>1</v>
      </c>
      <c r="M186" s="4">
        <v>3237</v>
      </c>
      <c r="N186" s="1">
        <v>3635</v>
      </c>
      <c r="O186" s="1">
        <v>8833</v>
      </c>
      <c r="P186" s="1">
        <v>5198</v>
      </c>
      <c r="Q186" s="1" t="s">
        <v>42</v>
      </c>
      <c r="S186" s="1" t="s">
        <v>42</v>
      </c>
      <c r="T186" s="1" t="s">
        <v>48</v>
      </c>
      <c r="U186" s="1">
        <v>121</v>
      </c>
      <c r="V186" s="5">
        <v>44425</v>
      </c>
      <c r="W186" s="5">
        <v>44306</v>
      </c>
      <c r="X186" s="1">
        <v>9985990</v>
      </c>
      <c r="AB186" s="1" t="s">
        <v>44</v>
      </c>
      <c r="AF186" s="1">
        <v>10028</v>
      </c>
      <c r="AI186" s="1" t="s">
        <v>128</v>
      </c>
      <c r="AJ186" s="1">
        <v>2019</v>
      </c>
      <c r="AK186" s="1" t="s">
        <v>81</v>
      </c>
      <c r="AL186" s="1">
        <v>29</v>
      </c>
    </row>
    <row r="187" spans="1:38" x14ac:dyDescent="0.2">
      <c r="A187" s="2" t="str">
        <f>HYPERLINK("https://www.compass.com/listing/40-east-end-avenue-unit-mais-manhattan-ny-10028/668925237814152185/","40 E End Ave, Unit MAIS")</f>
        <v>40 E End Ave, Unit MAIS</v>
      </c>
      <c r="B187" s="2" t="str">
        <f t="shared" si="27"/>
        <v>40 E End Ave</v>
      </c>
      <c r="C187" s="1" t="s">
        <v>53</v>
      </c>
      <c r="D187" s="1" t="s">
        <v>41</v>
      </c>
      <c r="E187" s="3">
        <v>9945990</v>
      </c>
      <c r="F187" s="1">
        <v>2034.77700490998</v>
      </c>
      <c r="G187" s="1">
        <v>9</v>
      </c>
      <c r="H187" s="1">
        <v>4</v>
      </c>
      <c r="I187" s="1">
        <v>5</v>
      </c>
      <c r="J187" s="1">
        <v>4</v>
      </c>
      <c r="K187" s="1">
        <v>3</v>
      </c>
      <c r="L187" s="1">
        <v>2</v>
      </c>
      <c r="M187" s="4">
        <v>4888</v>
      </c>
      <c r="N187" s="1">
        <v>4948</v>
      </c>
      <c r="O187" s="1">
        <v>12025</v>
      </c>
      <c r="P187" s="1">
        <v>7077</v>
      </c>
      <c r="Q187" s="1" t="s">
        <v>42</v>
      </c>
      <c r="S187" s="1" t="s">
        <v>42</v>
      </c>
      <c r="T187" s="1" t="s">
        <v>48</v>
      </c>
      <c r="U187" s="1">
        <v>253</v>
      </c>
      <c r="V187" s="5">
        <v>44425</v>
      </c>
      <c r="W187" s="5">
        <v>44174</v>
      </c>
      <c r="X187" s="1">
        <v>9995990</v>
      </c>
      <c r="AB187" s="1" t="s">
        <v>44</v>
      </c>
      <c r="AF187" s="1">
        <v>10028</v>
      </c>
      <c r="AI187" s="1" t="s">
        <v>141</v>
      </c>
      <c r="AJ187" s="1">
        <v>2019</v>
      </c>
      <c r="AK187" s="1" t="s">
        <v>81</v>
      </c>
      <c r="AL187" s="1">
        <v>29</v>
      </c>
    </row>
    <row r="188" spans="1:38" x14ac:dyDescent="0.2">
      <c r="A188" s="2" t="str">
        <f>HYPERLINK("https://www.compass.com/listing/200-east-62nd-street-unit-29ab-manhattan-ny-10065/29641191976971809/","200 E 62nd St, Unit 29AB")</f>
        <v>200 E 62nd St, Unit 29AB</v>
      </c>
      <c r="B188" s="2" t="str">
        <f>HYPERLINK("https://www.compass.com/building/200-e-62-manhattan-ny/282037506914928197/","200 E 62")</f>
        <v>200 E 62</v>
      </c>
      <c r="C188" s="1" t="s">
        <v>53</v>
      </c>
      <c r="D188" s="1" t="s">
        <v>41</v>
      </c>
      <c r="E188" s="3">
        <v>4485000</v>
      </c>
      <c r="F188" s="1">
        <v>2108.6036671368101</v>
      </c>
      <c r="G188" s="1">
        <v>5.5</v>
      </c>
      <c r="H188" s="1">
        <v>3</v>
      </c>
      <c r="I188" s="1">
        <v>3</v>
      </c>
      <c r="J188" s="1">
        <v>2.5</v>
      </c>
      <c r="K188" s="1">
        <v>2</v>
      </c>
      <c r="L188" s="1">
        <v>1</v>
      </c>
      <c r="M188" s="4">
        <v>2127</v>
      </c>
      <c r="N188" s="1">
        <v>2632</v>
      </c>
      <c r="O188" s="1">
        <v>6368</v>
      </c>
      <c r="P188" s="1">
        <v>3736</v>
      </c>
      <c r="Q188" s="1" t="s">
        <v>42</v>
      </c>
      <c r="S188" s="1" t="s">
        <v>42</v>
      </c>
      <c r="T188" s="1" t="s">
        <v>48</v>
      </c>
      <c r="U188" s="1">
        <v>1441</v>
      </c>
      <c r="V188" s="5">
        <v>44417</v>
      </c>
      <c r="W188" s="5">
        <v>42892</v>
      </c>
      <c r="X188" s="1">
        <v>4720000</v>
      </c>
      <c r="AB188" s="1" t="s">
        <v>44</v>
      </c>
      <c r="AF188" s="1">
        <v>10065</v>
      </c>
      <c r="AI188" s="1" t="s">
        <v>156</v>
      </c>
      <c r="AJ188" s="1">
        <v>1967</v>
      </c>
      <c r="AK188" s="1" t="s">
        <v>81</v>
      </c>
      <c r="AL188" s="1">
        <v>113</v>
      </c>
    </row>
    <row r="189" spans="1:38" x14ac:dyDescent="0.2">
      <c r="A189" s="2" t="str">
        <f>HYPERLINK("https://www.compass.com/listing/301-west-53rd-street-unit-5a-manhattan-ny-10019/825543283308203713/","301 W 53rd St, Unit 5A")</f>
        <v>301 W 53rd St, Unit 5A</v>
      </c>
      <c r="B189" s="2" t="str">
        <f>HYPERLINK("https://www.compass.com/building/fifty-third-and-eighth-manhattan-ny/281944545158031557/","Fifty Third and Eighth")</f>
        <v>Fifty Third and Eighth</v>
      </c>
      <c r="C189" s="1" t="s">
        <v>57</v>
      </c>
      <c r="D189" s="1" t="s">
        <v>41</v>
      </c>
      <c r="E189" s="3">
        <v>1795000</v>
      </c>
      <c r="F189" s="1">
        <v>1727.62271414821</v>
      </c>
      <c r="G189" s="1">
        <v>4</v>
      </c>
      <c r="H189" s="1">
        <v>2</v>
      </c>
      <c r="I189" s="1">
        <v>2</v>
      </c>
      <c r="J189" s="1">
        <v>2</v>
      </c>
      <c r="K189" s="1">
        <v>2</v>
      </c>
      <c r="M189" s="4">
        <v>1039</v>
      </c>
      <c r="N189" s="1">
        <v>926</v>
      </c>
      <c r="O189" s="1">
        <v>2577</v>
      </c>
      <c r="P189" s="1">
        <v>1651</v>
      </c>
      <c r="Q189" s="1" t="s">
        <v>42</v>
      </c>
      <c r="S189" s="1" t="s">
        <v>42</v>
      </c>
      <c r="T189" s="1" t="s">
        <v>48</v>
      </c>
      <c r="U189" s="1">
        <v>37</v>
      </c>
      <c r="V189" s="5">
        <v>44427</v>
      </c>
      <c r="W189" s="5">
        <v>44389</v>
      </c>
      <c r="X189" s="1">
        <v>1795000</v>
      </c>
      <c r="AB189" s="1" t="s">
        <v>44</v>
      </c>
      <c r="AF189" s="1">
        <v>10019</v>
      </c>
      <c r="AI189" s="1" t="s">
        <v>76</v>
      </c>
      <c r="AJ189" s="1">
        <v>2017</v>
      </c>
      <c r="AK189" s="1" t="s">
        <v>81</v>
      </c>
      <c r="AL189" s="1">
        <v>248</v>
      </c>
    </row>
    <row r="190" spans="1:38" x14ac:dyDescent="0.2">
      <c r="A190" s="2" t="str">
        <f>HYPERLINK("https://www.compass.com/listing/40-east-end-avenue-unit-ph15-manhattan-ny-10028/140873654136213729/","40 E End Ave, Unit PH15")</f>
        <v>40 E End Ave, Unit PH15</v>
      </c>
      <c r="B190" s="2" t="str">
        <f>HYPERLINK("https://www.compass.com/building/40-e-end-ave-manhattan-ny-10028/281986569399806037/","40 E End Ave")</f>
        <v>40 E End Ave</v>
      </c>
      <c r="C190" s="1" t="s">
        <v>53</v>
      </c>
      <c r="D190" s="1" t="s">
        <v>41</v>
      </c>
      <c r="E190" s="3">
        <v>12935990</v>
      </c>
      <c r="F190" s="1">
        <v>3548.9684499314099</v>
      </c>
      <c r="G190" s="1">
        <v>6</v>
      </c>
      <c r="H190" s="1">
        <v>4</v>
      </c>
      <c r="I190" s="1">
        <v>5</v>
      </c>
      <c r="J190" s="1">
        <v>4.5</v>
      </c>
      <c r="K190" s="1">
        <v>4</v>
      </c>
      <c r="L190" s="1">
        <v>1</v>
      </c>
      <c r="M190" s="4">
        <v>3645</v>
      </c>
      <c r="N190" s="1">
        <v>4191</v>
      </c>
      <c r="O190" s="1">
        <v>10184</v>
      </c>
      <c r="P190" s="1">
        <v>5993</v>
      </c>
      <c r="Q190" s="1" t="s">
        <v>42</v>
      </c>
      <c r="S190" s="1" t="s">
        <v>42</v>
      </c>
      <c r="T190" s="1" t="s">
        <v>48</v>
      </c>
      <c r="U190" s="1">
        <v>344</v>
      </c>
      <c r="V190" s="5">
        <v>44425</v>
      </c>
      <c r="W190" s="5">
        <v>44083</v>
      </c>
      <c r="AB190" s="1" t="s">
        <v>44</v>
      </c>
      <c r="AF190" s="1">
        <v>10028</v>
      </c>
      <c r="AI190" s="1" t="s">
        <v>157</v>
      </c>
      <c r="AJ190" s="1">
        <v>2019</v>
      </c>
      <c r="AK190" s="1" t="s">
        <v>81</v>
      </c>
      <c r="AL190" s="1">
        <v>29</v>
      </c>
    </row>
    <row r="191" spans="1:38" x14ac:dyDescent="0.2">
      <c r="A191" s="2" t="str">
        <f>HYPERLINK("https://www.compass.com/listing/375-west-123rd-street-unit-pha-manhattan-ny-10027/816770782443285737/","375 W 123rd St, Unit PHA")</f>
        <v>375 W 123rd St, Unit PHA</v>
      </c>
      <c r="B191" s="2" t="str">
        <f>HYPERLINK("https://www.compass.com/building/99-morningside-manhattan-ny/281983676789660549/","99 Morningside")</f>
        <v>99 Morningside</v>
      </c>
      <c r="C191" s="1" t="s">
        <v>131</v>
      </c>
      <c r="D191" s="1" t="s">
        <v>41</v>
      </c>
      <c r="E191" s="3">
        <v>3195000</v>
      </c>
      <c r="F191" s="1">
        <v>1381.32295719844</v>
      </c>
      <c r="G191" s="1">
        <v>6.5</v>
      </c>
      <c r="H191" s="1">
        <v>4</v>
      </c>
      <c r="I191" s="1">
        <v>3</v>
      </c>
      <c r="J191" s="1">
        <v>2.5</v>
      </c>
      <c r="K191" s="1">
        <v>2</v>
      </c>
      <c r="L191" s="1">
        <v>1</v>
      </c>
      <c r="M191" s="4">
        <v>2313</v>
      </c>
      <c r="N191" s="1">
        <v>2126</v>
      </c>
      <c r="O191" s="1">
        <v>4437</v>
      </c>
      <c r="P191" s="1">
        <v>2311</v>
      </c>
      <c r="Q191" s="1" t="s">
        <v>42</v>
      </c>
      <c r="S191" s="1" t="s">
        <v>42</v>
      </c>
      <c r="T191" s="1" t="s">
        <v>48</v>
      </c>
      <c r="U191" s="1">
        <v>49</v>
      </c>
      <c r="V191" s="5">
        <v>44427</v>
      </c>
      <c r="W191" s="5">
        <v>44378</v>
      </c>
      <c r="X191" s="1">
        <v>3195000</v>
      </c>
      <c r="AB191" s="1" t="s">
        <v>44</v>
      </c>
      <c r="AD191" s="1" t="s">
        <v>158</v>
      </c>
      <c r="AE191" s="1" t="s">
        <v>111</v>
      </c>
      <c r="AF191" s="1">
        <v>10027</v>
      </c>
      <c r="AI191" s="1" t="s">
        <v>159</v>
      </c>
      <c r="AJ191" s="1">
        <v>2016</v>
      </c>
      <c r="AK191" s="1" t="s">
        <v>133</v>
      </c>
      <c r="AL191" s="1">
        <v>22</v>
      </c>
    </row>
    <row r="192" spans="1:38" x14ac:dyDescent="0.2">
      <c r="A192" s="2" t="str">
        <f>HYPERLINK("https://www.compass.com/listing/17-convent-avenue-unit-phb-manhattan-ny-10027/821701077097038929/","17 Convent Ave, Unit PHB")</f>
        <v>17 Convent Ave, Unit PHB</v>
      </c>
      <c r="B192" s="2" t="str">
        <f>HYPERLINK("https://www.compass.com/building/17-convent-avenue-manhattan-ny/281979525124947109/","17 Convent Avenue")</f>
        <v>17 Convent Avenue</v>
      </c>
      <c r="C192" s="1" t="s">
        <v>160</v>
      </c>
      <c r="D192" s="1" t="s">
        <v>41</v>
      </c>
      <c r="E192" s="3">
        <v>2395000</v>
      </c>
      <c r="F192" s="1">
        <v>1155.33043897732</v>
      </c>
      <c r="G192" s="1">
        <v>6</v>
      </c>
      <c r="H192" s="1">
        <v>4</v>
      </c>
      <c r="I192" s="1">
        <v>3</v>
      </c>
      <c r="J192" s="1">
        <v>3</v>
      </c>
      <c r="K192" s="1">
        <v>3</v>
      </c>
      <c r="M192" s="4">
        <v>2073</v>
      </c>
      <c r="N192" s="1">
        <v>1393</v>
      </c>
      <c r="O192" s="1">
        <v>4007</v>
      </c>
      <c r="P192" s="1">
        <v>2614</v>
      </c>
      <c r="Q192" s="1" t="s">
        <v>42</v>
      </c>
      <c r="S192" s="1" t="s">
        <v>42</v>
      </c>
      <c r="T192" s="1" t="s">
        <v>48</v>
      </c>
      <c r="U192" s="1">
        <v>42</v>
      </c>
      <c r="V192" s="5">
        <v>44427</v>
      </c>
      <c r="W192" s="5">
        <v>44385</v>
      </c>
      <c r="X192" s="1">
        <v>2395000</v>
      </c>
      <c r="AB192" s="1" t="s">
        <v>44</v>
      </c>
      <c r="AD192" s="1" t="s">
        <v>161</v>
      </c>
      <c r="AE192" s="1" t="s">
        <v>111</v>
      </c>
      <c r="AF192" s="1">
        <v>10027</v>
      </c>
      <c r="AI192" s="1" t="s">
        <v>51</v>
      </c>
      <c r="AJ192" s="1">
        <v>2019</v>
      </c>
      <c r="AK192" s="1" t="s">
        <v>162</v>
      </c>
      <c r="AL192" s="1">
        <v>21</v>
      </c>
    </row>
    <row r="193" spans="1:38" x14ac:dyDescent="0.2">
      <c r="A193" s="2" t="str">
        <f>HYPERLINK("https://www.compass.com/listing/1399-park-avenue-unit-19a-manhattan-ny-10029/829975988570620401/","1399 Park Ave, Unit 19A")</f>
        <v>1399 Park Ave, Unit 19A</v>
      </c>
      <c r="B193" s="2" t="str">
        <f>HYPERLINK("https://www.compass.com/building/1399-park-manhattan-ny/281988559521557189/","1399 Park")</f>
        <v>1399 Park</v>
      </c>
      <c r="C193" s="1" t="s">
        <v>82</v>
      </c>
      <c r="D193" s="1" t="s">
        <v>41</v>
      </c>
      <c r="E193" s="3">
        <v>2240000</v>
      </c>
      <c r="F193" s="1">
        <v>1110.00991080277</v>
      </c>
      <c r="G193" s="1">
        <v>5</v>
      </c>
      <c r="H193" s="1">
        <v>3</v>
      </c>
      <c r="I193" s="1">
        <v>3</v>
      </c>
      <c r="J193" s="1">
        <v>3</v>
      </c>
      <c r="K193" s="1">
        <v>3</v>
      </c>
      <c r="M193" s="4">
        <v>2018</v>
      </c>
      <c r="N193" s="1">
        <v>2343</v>
      </c>
      <c r="O193" s="1">
        <v>4624</v>
      </c>
      <c r="P193" s="1">
        <v>2281</v>
      </c>
      <c r="Q193" s="1" t="s">
        <v>42</v>
      </c>
      <c r="S193" s="1" t="s">
        <v>42</v>
      </c>
      <c r="T193" s="1" t="s">
        <v>48</v>
      </c>
      <c r="U193" s="1">
        <v>31</v>
      </c>
      <c r="V193" s="5">
        <v>44426</v>
      </c>
      <c r="W193" s="5">
        <v>44396</v>
      </c>
      <c r="X193" s="1">
        <v>2240000</v>
      </c>
      <c r="AB193" s="1" t="s">
        <v>44</v>
      </c>
      <c r="AF193" s="1">
        <v>10029</v>
      </c>
      <c r="AI193" s="1" t="s">
        <v>163</v>
      </c>
      <c r="AJ193" s="1">
        <v>2019</v>
      </c>
      <c r="AK193" s="1" t="s">
        <v>87</v>
      </c>
      <c r="AL193" s="1">
        <v>72</v>
      </c>
    </row>
    <row r="194" spans="1:38" x14ac:dyDescent="0.2">
      <c r="A194" s="2" t="str">
        <f>HYPERLINK("https://www.compass.com/listing/775-riverside-drive-unit-6e-manhattan-ny-10032/800607108373351265/","775 Riverside Dr, Unit 6E")</f>
        <v>775 Riverside Dr, Unit 6E</v>
      </c>
      <c r="B194" s="2" t="str">
        <f>HYPERLINK("https://www.compass.com/building/775-riverside-dr-manhattan-ny-10032/294837409665591813/","775 Riverside Dr")</f>
        <v>775 Riverside Dr</v>
      </c>
      <c r="C194" s="1" t="s">
        <v>164</v>
      </c>
      <c r="D194" s="1" t="s">
        <v>41</v>
      </c>
      <c r="E194" s="3">
        <v>775000</v>
      </c>
      <c r="F194" s="1">
        <v>638.91178895300902</v>
      </c>
      <c r="G194" s="1">
        <v>5</v>
      </c>
      <c r="H194" s="1">
        <v>2</v>
      </c>
      <c r="I194" s="1">
        <v>2</v>
      </c>
      <c r="J194" s="1">
        <v>2</v>
      </c>
      <c r="K194" s="1">
        <v>2</v>
      </c>
      <c r="M194" s="4">
        <v>1213</v>
      </c>
      <c r="N194" s="1">
        <v>889</v>
      </c>
      <c r="O194" s="1">
        <v>1587</v>
      </c>
      <c r="P194" s="1">
        <v>698</v>
      </c>
      <c r="Q194" s="1" t="s">
        <v>42</v>
      </c>
      <c r="S194" s="1" t="s">
        <v>42</v>
      </c>
      <c r="T194" s="1" t="s">
        <v>48</v>
      </c>
      <c r="U194" s="1">
        <v>70</v>
      </c>
      <c r="V194" s="5">
        <v>44427</v>
      </c>
      <c r="W194" s="5">
        <v>44356</v>
      </c>
      <c r="X194" s="1">
        <v>775000</v>
      </c>
      <c r="AB194" s="1" t="s">
        <v>44</v>
      </c>
      <c r="AD194" s="1" t="s">
        <v>66</v>
      </c>
      <c r="AE194" s="1" t="s">
        <v>64</v>
      </c>
      <c r="AF194" s="1">
        <v>10032</v>
      </c>
      <c r="AJ194" s="1">
        <v>1931</v>
      </c>
    </row>
    <row r="195" spans="1:38" x14ac:dyDescent="0.2">
      <c r="A195" s="2" t="str">
        <f>HYPERLINK("https://www.compass.com/listing/591-3rd-avenue-unit-9b-manhattan-ny-10016/775242872473079025/","591 3rd Ave, Unit 9B")</f>
        <v>591 3rd Ave, Unit 9B</v>
      </c>
      <c r="B195" s="2" t="str">
        <f>HYPERLINK("https://www.compass.com/building/the-lindley-manhattan-ny/282058799928343829/","The Lindley")</f>
        <v>The Lindley</v>
      </c>
      <c r="C195" s="1" t="s">
        <v>165</v>
      </c>
      <c r="D195" s="1" t="s">
        <v>41</v>
      </c>
      <c r="E195" s="3">
        <v>1299900</v>
      </c>
      <c r="F195" s="1">
        <v>1662.2762148337499</v>
      </c>
      <c r="G195" s="1">
        <v>3</v>
      </c>
      <c r="H195" s="1">
        <v>1</v>
      </c>
      <c r="I195" s="1">
        <v>1</v>
      </c>
      <c r="J195" s="1">
        <v>1</v>
      </c>
      <c r="K195" s="1">
        <v>1</v>
      </c>
      <c r="M195" s="1">
        <v>782</v>
      </c>
      <c r="N195" s="1">
        <v>1104</v>
      </c>
      <c r="O195" s="1">
        <v>1463</v>
      </c>
      <c r="P195" s="1">
        <v>359</v>
      </c>
      <c r="Q195" s="1" t="s">
        <v>42</v>
      </c>
      <c r="S195" s="1" t="s">
        <v>42</v>
      </c>
      <c r="T195" s="1" t="s">
        <v>48</v>
      </c>
      <c r="U195" s="1">
        <v>106</v>
      </c>
      <c r="V195" s="5">
        <v>44420</v>
      </c>
      <c r="W195" s="5">
        <v>44321</v>
      </c>
      <c r="X195" s="1">
        <v>1380000</v>
      </c>
      <c r="AB195" s="1" t="s">
        <v>44</v>
      </c>
      <c r="AF195" s="1">
        <v>10016</v>
      </c>
      <c r="AI195" s="1" t="s">
        <v>166</v>
      </c>
      <c r="AJ195" s="1">
        <v>2018</v>
      </c>
      <c r="AK195" s="1" t="s">
        <v>167</v>
      </c>
      <c r="AL195" s="1">
        <v>74</v>
      </c>
    </row>
    <row r="196" spans="1:38" x14ac:dyDescent="0.2">
      <c r="A196" s="2" t="str">
        <f>HYPERLINK("https://www.compass.com/listing/375-west-123rd-street-unit-10a-manhattan-ny-10027/778936088885319049/","375 W 123rd St, Unit 10A")</f>
        <v>375 W 123rd St, Unit 10A</v>
      </c>
      <c r="B196" s="2" t="str">
        <f t="shared" ref="B196:B197" si="28">HYPERLINK("https://www.compass.com/building/99-morningside-manhattan-ny/281983676789660549/","99 Morningside")</f>
        <v>99 Morningside</v>
      </c>
      <c r="C196" s="1" t="s">
        <v>131</v>
      </c>
      <c r="D196" s="1" t="s">
        <v>41</v>
      </c>
      <c r="E196" s="3">
        <v>1495000</v>
      </c>
      <c r="F196" s="1">
        <v>1367.79505946935</v>
      </c>
      <c r="G196" s="1">
        <v>4</v>
      </c>
      <c r="H196" s="1">
        <v>2</v>
      </c>
      <c r="I196" s="1">
        <v>2</v>
      </c>
      <c r="J196" s="1">
        <v>2</v>
      </c>
      <c r="K196" s="1">
        <v>2</v>
      </c>
      <c r="M196" s="4">
        <v>1093</v>
      </c>
      <c r="N196" s="1">
        <v>1022</v>
      </c>
      <c r="O196" s="1">
        <v>1624</v>
      </c>
      <c r="P196" s="1">
        <v>602</v>
      </c>
      <c r="Q196" s="1" t="s">
        <v>42</v>
      </c>
      <c r="S196" s="1" t="s">
        <v>42</v>
      </c>
      <c r="T196" s="1" t="s">
        <v>48</v>
      </c>
      <c r="U196" s="1">
        <v>101</v>
      </c>
      <c r="V196" s="5">
        <v>44427</v>
      </c>
      <c r="W196" s="5">
        <v>44326</v>
      </c>
      <c r="X196" s="1">
        <v>1495000</v>
      </c>
      <c r="AB196" s="1" t="s">
        <v>44</v>
      </c>
      <c r="AD196" s="1" t="s">
        <v>158</v>
      </c>
      <c r="AE196" s="1" t="s">
        <v>111</v>
      </c>
      <c r="AF196" s="1">
        <v>10027</v>
      </c>
      <c r="AI196" s="1" t="s">
        <v>132</v>
      </c>
      <c r="AJ196" s="1">
        <v>2016</v>
      </c>
      <c r="AK196" s="1" t="s">
        <v>133</v>
      </c>
      <c r="AL196" s="1">
        <v>22</v>
      </c>
    </row>
    <row r="197" spans="1:38" x14ac:dyDescent="0.2">
      <c r="A197" s="2" t="str">
        <f>HYPERLINK("https://www.compass.com/listing/375-west-123rd-street-unit-8b-manhattan-ny-10027/785325449395665201/","375 W 123rd St, Unit 8B")</f>
        <v>375 W 123rd St, Unit 8B</v>
      </c>
      <c r="B197" s="2" t="str">
        <f t="shared" si="28"/>
        <v>99 Morningside</v>
      </c>
      <c r="C197" s="1" t="s">
        <v>131</v>
      </c>
      <c r="D197" s="1" t="s">
        <v>41</v>
      </c>
      <c r="E197" s="3">
        <v>2395000</v>
      </c>
      <c r="F197" s="1">
        <v>1443.6407474382099</v>
      </c>
      <c r="G197" s="1">
        <v>5</v>
      </c>
      <c r="H197" s="1">
        <v>3</v>
      </c>
      <c r="I197" s="1">
        <v>2</v>
      </c>
      <c r="J197" s="1">
        <v>2</v>
      </c>
      <c r="K197" s="1">
        <v>2</v>
      </c>
      <c r="M197" s="4">
        <v>1659</v>
      </c>
      <c r="N197" s="1">
        <v>1503</v>
      </c>
      <c r="O197" s="1">
        <v>2850</v>
      </c>
      <c r="P197" s="1">
        <v>1347</v>
      </c>
      <c r="Q197" s="1" t="s">
        <v>42</v>
      </c>
      <c r="S197" s="1" t="s">
        <v>42</v>
      </c>
      <c r="T197" s="1" t="s">
        <v>48</v>
      </c>
      <c r="U197" s="1">
        <v>92</v>
      </c>
      <c r="V197" s="5">
        <v>44421</v>
      </c>
      <c r="W197" s="5">
        <v>44335</v>
      </c>
      <c r="X197" s="1">
        <v>2395000</v>
      </c>
      <c r="AB197" s="1" t="s">
        <v>44</v>
      </c>
      <c r="AF197" s="1">
        <v>10027</v>
      </c>
      <c r="AI197" s="1" t="s">
        <v>159</v>
      </c>
      <c r="AJ197" s="1">
        <v>2016</v>
      </c>
      <c r="AK197" s="1" t="s">
        <v>133</v>
      </c>
      <c r="AL197" s="1">
        <v>22</v>
      </c>
    </row>
    <row r="198" spans="1:38" x14ac:dyDescent="0.2">
      <c r="A198" s="2" t="str">
        <f>HYPERLINK("https://www.compass.com/listing/301-west-53rd-street-unit-19cd-manhattan-ny-10019/804791948883533201/","301 W 53rd St, Unit 19CD")</f>
        <v>301 W 53rd St, Unit 19CD</v>
      </c>
      <c r="B198" s="2" t="str">
        <f>HYPERLINK("https://www.compass.com/building/fifty-third-and-eighth-manhattan-ny/281944545158031557/","Fifty Third and Eighth")</f>
        <v>Fifty Third and Eighth</v>
      </c>
      <c r="C198" s="1" t="s">
        <v>57</v>
      </c>
      <c r="D198" s="1" t="s">
        <v>41</v>
      </c>
      <c r="E198" s="3">
        <v>2700000</v>
      </c>
      <c r="F198" s="1">
        <v>1636.3636363636299</v>
      </c>
      <c r="G198" s="1">
        <v>5</v>
      </c>
      <c r="H198" s="1">
        <v>3</v>
      </c>
      <c r="I198" s="1">
        <v>2</v>
      </c>
      <c r="J198" s="1">
        <v>2</v>
      </c>
      <c r="K198" s="1">
        <v>2</v>
      </c>
      <c r="M198" s="4">
        <v>1650</v>
      </c>
      <c r="N198" s="1">
        <v>1510</v>
      </c>
      <c r="O198" s="1">
        <v>3430</v>
      </c>
      <c r="P198" s="1">
        <v>1920</v>
      </c>
      <c r="Q198" s="1" t="s">
        <v>42</v>
      </c>
      <c r="S198" s="1" t="s">
        <v>42</v>
      </c>
      <c r="T198" s="1" t="s">
        <v>48</v>
      </c>
      <c r="U198" s="1">
        <v>65</v>
      </c>
      <c r="V198" s="5">
        <v>44427</v>
      </c>
      <c r="W198" s="5">
        <v>44362</v>
      </c>
      <c r="X198" s="1">
        <v>2700000</v>
      </c>
      <c r="AB198" s="1" t="s">
        <v>44</v>
      </c>
      <c r="AF198" s="1">
        <v>10019</v>
      </c>
      <c r="AI198" s="1" t="s">
        <v>168</v>
      </c>
      <c r="AJ198" s="1">
        <v>2017</v>
      </c>
      <c r="AK198" s="1" t="s">
        <v>50</v>
      </c>
      <c r="AL198" s="1">
        <v>248</v>
      </c>
    </row>
    <row r="199" spans="1:38" x14ac:dyDescent="0.2">
      <c r="A199" s="2" t="str">
        <f>HYPERLINK("https://www.compass.com/listing/375-west-123rd-street-unit-4b-manhattan-ny-10027/652881972008623633/","375 W 123rd St, Unit 4B")</f>
        <v>375 W 123rd St, Unit 4B</v>
      </c>
      <c r="B199" s="2" t="str">
        <f t="shared" ref="B199:B202" si="29">HYPERLINK("https://www.compass.com/building/99-morningside-manhattan-ny/281983676789660549/","99 Morningside")</f>
        <v>99 Morningside</v>
      </c>
      <c r="C199" s="1" t="s">
        <v>131</v>
      </c>
      <c r="D199" s="1" t="s">
        <v>41</v>
      </c>
      <c r="E199" s="3">
        <v>1530000</v>
      </c>
      <c r="F199" s="1">
        <v>1200.94191522762</v>
      </c>
      <c r="G199" s="1">
        <v>5</v>
      </c>
      <c r="H199" s="1">
        <v>2</v>
      </c>
      <c r="I199" s="1">
        <v>2</v>
      </c>
      <c r="J199" s="1">
        <v>2</v>
      </c>
      <c r="K199" s="1">
        <v>2</v>
      </c>
      <c r="M199" s="4">
        <v>1274</v>
      </c>
      <c r="N199" s="1">
        <v>1193</v>
      </c>
      <c r="O199" s="1">
        <v>2059</v>
      </c>
      <c r="P199" s="1">
        <v>866</v>
      </c>
      <c r="Q199" s="1" t="s">
        <v>42</v>
      </c>
      <c r="S199" s="1" t="s">
        <v>42</v>
      </c>
      <c r="T199" s="1" t="s">
        <v>48</v>
      </c>
      <c r="U199" s="1">
        <v>275</v>
      </c>
      <c r="V199" s="5">
        <v>44427</v>
      </c>
      <c r="W199" s="5">
        <v>44152</v>
      </c>
      <c r="X199" s="1">
        <v>1495000</v>
      </c>
      <c r="AB199" s="1" t="s">
        <v>44</v>
      </c>
      <c r="AD199" s="1" t="s">
        <v>158</v>
      </c>
      <c r="AE199" s="1" t="s">
        <v>111</v>
      </c>
      <c r="AF199" s="1">
        <v>10027</v>
      </c>
      <c r="AI199" s="1" t="s">
        <v>132</v>
      </c>
      <c r="AJ199" s="1">
        <v>2016</v>
      </c>
      <c r="AK199" s="1" t="s">
        <v>133</v>
      </c>
      <c r="AL199" s="1">
        <v>22</v>
      </c>
    </row>
    <row r="200" spans="1:38" x14ac:dyDescent="0.2">
      <c r="A200" s="2" t="str">
        <f>HYPERLINK("https://www.compass.com/listing/375-west-123rd-street-unit-4c-manhattan-ny-10027/715151076830203433/","375 W 123rd St, Unit 4C")</f>
        <v>375 W 123rd St, Unit 4C</v>
      </c>
      <c r="B200" s="2" t="str">
        <f t="shared" si="29"/>
        <v>99 Morningside</v>
      </c>
      <c r="C200" s="1" t="s">
        <v>131</v>
      </c>
      <c r="D200" s="1" t="s">
        <v>41</v>
      </c>
      <c r="E200" s="3">
        <v>1445000</v>
      </c>
      <c r="F200" s="1">
        <v>1136.9000786782001</v>
      </c>
      <c r="G200" s="1">
        <v>4</v>
      </c>
      <c r="H200" s="1">
        <v>2</v>
      </c>
      <c r="I200" s="1">
        <v>2</v>
      </c>
      <c r="J200" s="1">
        <v>2</v>
      </c>
      <c r="K200" s="1">
        <v>2</v>
      </c>
      <c r="M200" s="4">
        <v>1271</v>
      </c>
      <c r="N200" s="1">
        <v>1163</v>
      </c>
      <c r="O200" s="1">
        <v>1983</v>
      </c>
      <c r="P200" s="1">
        <v>820</v>
      </c>
      <c r="Q200" s="1" t="s">
        <v>42</v>
      </c>
      <c r="S200" s="1" t="s">
        <v>42</v>
      </c>
      <c r="T200" s="1" t="s">
        <v>48</v>
      </c>
      <c r="U200" s="1">
        <v>189</v>
      </c>
      <c r="V200" s="5">
        <v>44427</v>
      </c>
      <c r="W200" s="5">
        <v>44238</v>
      </c>
      <c r="X200" s="1">
        <v>1445000</v>
      </c>
      <c r="AB200" s="1" t="s">
        <v>44</v>
      </c>
      <c r="AD200" s="1" t="s">
        <v>158</v>
      </c>
      <c r="AE200" s="1" t="s">
        <v>111</v>
      </c>
      <c r="AF200" s="1">
        <v>10027</v>
      </c>
      <c r="AI200" s="1" t="s">
        <v>132</v>
      </c>
      <c r="AJ200" s="1">
        <v>2016</v>
      </c>
      <c r="AK200" s="1" t="s">
        <v>133</v>
      </c>
      <c r="AL200" s="1">
        <v>22</v>
      </c>
    </row>
    <row r="201" spans="1:38" x14ac:dyDescent="0.2">
      <c r="A201" s="2" t="str">
        <f>HYPERLINK("https://www.compass.com/listing/375-west-123rd-street-unit-4a-manhattan-ny-10027/715151038427394145/","375 W 123rd St, Unit 4A")</f>
        <v>375 W 123rd St, Unit 4A</v>
      </c>
      <c r="B201" s="2" t="str">
        <f t="shared" si="29"/>
        <v>99 Morningside</v>
      </c>
      <c r="C201" s="1" t="s">
        <v>131</v>
      </c>
      <c r="D201" s="1" t="s">
        <v>41</v>
      </c>
      <c r="E201" s="3">
        <v>1590000</v>
      </c>
      <c r="F201" s="1">
        <v>1123.67491166077</v>
      </c>
      <c r="G201" s="1">
        <v>5</v>
      </c>
      <c r="H201" s="1">
        <v>3</v>
      </c>
      <c r="I201" s="1">
        <v>2</v>
      </c>
      <c r="J201" s="1">
        <v>2</v>
      </c>
      <c r="K201" s="1">
        <v>2</v>
      </c>
      <c r="M201" s="4">
        <v>1415</v>
      </c>
      <c r="N201" s="1">
        <v>1320</v>
      </c>
      <c r="O201" s="1">
        <v>2383</v>
      </c>
      <c r="P201" s="1">
        <v>1063</v>
      </c>
      <c r="Q201" s="1" t="s">
        <v>42</v>
      </c>
      <c r="S201" s="1" t="s">
        <v>42</v>
      </c>
      <c r="T201" s="1" t="s">
        <v>48</v>
      </c>
      <c r="U201" s="1">
        <v>189</v>
      </c>
      <c r="V201" s="5">
        <v>44421</v>
      </c>
      <c r="W201" s="5">
        <v>44238</v>
      </c>
      <c r="X201" s="1">
        <v>1590000</v>
      </c>
      <c r="AB201" s="1" t="s">
        <v>44</v>
      </c>
      <c r="AF201" s="1">
        <v>10027</v>
      </c>
      <c r="AI201" s="1" t="s">
        <v>132</v>
      </c>
      <c r="AJ201" s="1">
        <v>2016</v>
      </c>
      <c r="AK201" s="1" t="s">
        <v>133</v>
      </c>
      <c r="AL201" s="1">
        <v>22</v>
      </c>
    </row>
    <row r="202" spans="1:38" x14ac:dyDescent="0.2">
      <c r="A202" s="2" t="str">
        <f>HYPERLINK("https://www.compass.com/listing/375-west-123rd-street-unit-phb-manhattan-ny-10027/652884216791865617/","375 W 123rd St, Unit PHB")</f>
        <v>375 W 123rd St, Unit PHB</v>
      </c>
      <c r="B202" s="2" t="str">
        <f t="shared" si="29"/>
        <v>99 Morningside</v>
      </c>
      <c r="C202" s="1" t="s">
        <v>131</v>
      </c>
      <c r="D202" s="1" t="s">
        <v>41</v>
      </c>
      <c r="E202" s="3">
        <v>3345000</v>
      </c>
      <c r="F202" s="1">
        <v>1387.39112401493</v>
      </c>
      <c r="G202" s="1">
        <v>6</v>
      </c>
      <c r="H202" s="1">
        <v>4</v>
      </c>
      <c r="I202" s="1">
        <v>3</v>
      </c>
      <c r="J202" s="1">
        <v>2.5</v>
      </c>
      <c r="K202" s="1">
        <v>2</v>
      </c>
      <c r="L202" s="1">
        <v>1</v>
      </c>
      <c r="M202" s="4">
        <v>2411</v>
      </c>
      <c r="N202" s="1">
        <v>2219</v>
      </c>
      <c r="O202" s="1">
        <v>4674</v>
      </c>
      <c r="P202" s="1">
        <v>2455</v>
      </c>
      <c r="Q202" s="1" t="s">
        <v>42</v>
      </c>
      <c r="S202" s="1" t="s">
        <v>42</v>
      </c>
      <c r="T202" s="1" t="s">
        <v>48</v>
      </c>
      <c r="U202" s="1">
        <v>275</v>
      </c>
      <c r="V202" s="5">
        <v>44427</v>
      </c>
      <c r="W202" s="5">
        <v>44152</v>
      </c>
      <c r="X202" s="1">
        <v>3550000</v>
      </c>
      <c r="AB202" s="1" t="s">
        <v>44</v>
      </c>
      <c r="AD202" s="1" t="s">
        <v>158</v>
      </c>
      <c r="AE202" s="1" t="s">
        <v>111</v>
      </c>
      <c r="AF202" s="1">
        <v>10027</v>
      </c>
      <c r="AI202" s="1" t="s">
        <v>169</v>
      </c>
      <c r="AJ202" s="1">
        <v>2016</v>
      </c>
      <c r="AK202" s="1" t="s">
        <v>133</v>
      </c>
      <c r="AL202" s="1">
        <v>22</v>
      </c>
    </row>
    <row r="203" spans="1:38" x14ac:dyDescent="0.2">
      <c r="A203" s="2" t="str">
        <f>HYPERLINK("https://www.compass.com/listing/17-convent-avenue-unit-pha-manhattan-ny-10027/797088513395715329/","17 Convent Ave, Unit PHA")</f>
        <v>17 Convent Ave, Unit PHA</v>
      </c>
      <c r="B203" s="2" t="str">
        <f>HYPERLINK("https://www.compass.com/building/17-convent-avenue-manhattan-ny/281979525124947109/","17 Convent Avenue")</f>
        <v>17 Convent Avenue</v>
      </c>
      <c r="C203" s="1" t="s">
        <v>160</v>
      </c>
      <c r="D203" s="1" t="s">
        <v>41</v>
      </c>
      <c r="E203" s="3">
        <v>1995000</v>
      </c>
      <c r="F203" s="1">
        <v>1111.4206128133701</v>
      </c>
      <c r="G203" s="1">
        <v>5</v>
      </c>
      <c r="H203" s="1">
        <v>3</v>
      </c>
      <c r="I203" s="1">
        <v>2</v>
      </c>
      <c r="J203" s="1">
        <v>2</v>
      </c>
      <c r="K203" s="1">
        <v>2</v>
      </c>
      <c r="M203" s="4">
        <v>1795</v>
      </c>
      <c r="N203" s="1">
        <v>1182</v>
      </c>
      <c r="O203" s="1">
        <v>3252</v>
      </c>
      <c r="P203" s="1">
        <v>2070</v>
      </c>
      <c r="Q203" s="1" t="s">
        <v>42</v>
      </c>
      <c r="S203" s="1" t="s">
        <v>42</v>
      </c>
      <c r="T203" s="1" t="s">
        <v>48</v>
      </c>
      <c r="U203" s="1">
        <v>76</v>
      </c>
      <c r="V203" s="5">
        <v>44427</v>
      </c>
      <c r="W203" s="5">
        <v>44351</v>
      </c>
      <c r="X203" s="1">
        <v>1</v>
      </c>
      <c r="AB203" s="1" t="s">
        <v>44</v>
      </c>
      <c r="AD203" s="1" t="s">
        <v>161</v>
      </c>
      <c r="AE203" s="1" t="s">
        <v>111</v>
      </c>
      <c r="AF203" s="1">
        <v>10027</v>
      </c>
      <c r="AI203" s="1" t="s">
        <v>170</v>
      </c>
      <c r="AJ203" s="1">
        <v>2019</v>
      </c>
      <c r="AK203" s="1" t="s">
        <v>87</v>
      </c>
      <c r="AL203" s="1">
        <v>21</v>
      </c>
    </row>
    <row r="204" spans="1:38" x14ac:dyDescent="0.2">
      <c r="A204" s="2" t="str">
        <f>HYPERLINK("https://www.compass.com/listing/200-east-59th-street-unit-14c-manhattan-ny-10022/768768670797080745/","200 E 59th St, Unit 14C")</f>
        <v>200 E 59th St, Unit 14C</v>
      </c>
      <c r="B204" s="2" t="str">
        <f t="shared" ref="B204:B206" si="30">HYPERLINK("https://www.compass.com/building/200-east-59th-street-manhattan-ny/292859303948266645/","200 East 59th Street")</f>
        <v>200 East 59th Street</v>
      </c>
      <c r="C204" s="1" t="s">
        <v>171</v>
      </c>
      <c r="D204" s="1" t="s">
        <v>41</v>
      </c>
      <c r="E204" s="3">
        <v>2257500</v>
      </c>
      <c r="F204" s="1">
        <v>2310.6448311156601</v>
      </c>
      <c r="G204" s="1">
        <v>3</v>
      </c>
      <c r="H204" s="1">
        <v>1</v>
      </c>
      <c r="I204" s="1">
        <v>2</v>
      </c>
      <c r="J204" s="1">
        <v>1.5</v>
      </c>
      <c r="K204" s="1">
        <v>1</v>
      </c>
      <c r="L204" s="1">
        <v>1</v>
      </c>
      <c r="M204" s="1">
        <v>977</v>
      </c>
      <c r="N204" s="1">
        <v>1673</v>
      </c>
      <c r="O204" s="1">
        <v>3560</v>
      </c>
      <c r="P204" s="1">
        <v>1887</v>
      </c>
      <c r="Q204" s="1" t="s">
        <v>42</v>
      </c>
      <c r="S204" s="1" t="s">
        <v>42</v>
      </c>
      <c r="T204" s="1" t="s">
        <v>48</v>
      </c>
      <c r="U204" s="1">
        <v>119</v>
      </c>
      <c r="V204" s="5">
        <v>44421</v>
      </c>
      <c r="W204" s="5">
        <v>44308</v>
      </c>
      <c r="X204" s="1">
        <v>1</v>
      </c>
      <c r="AB204" s="1" t="s">
        <v>44</v>
      </c>
      <c r="AF204" s="1">
        <v>10022</v>
      </c>
      <c r="AI204" s="1" t="s">
        <v>98</v>
      </c>
      <c r="AJ204" s="1">
        <v>2018</v>
      </c>
      <c r="AK204" s="1" t="s">
        <v>50</v>
      </c>
      <c r="AL204" s="1">
        <v>67</v>
      </c>
    </row>
    <row r="205" spans="1:38" x14ac:dyDescent="0.2">
      <c r="A205" s="2" t="str">
        <f>HYPERLINK("https://www.compass.com/listing/200-east-59th-street-unit-16b-manhattan-ny-10022/769599208141591729/","200 E 59th St, Unit 16B")</f>
        <v>200 E 59th St, Unit 16B</v>
      </c>
      <c r="B205" s="2" t="str">
        <f t="shared" si="30"/>
        <v>200 East 59th Street</v>
      </c>
      <c r="C205" s="1" t="s">
        <v>171</v>
      </c>
      <c r="D205" s="1" t="s">
        <v>41</v>
      </c>
      <c r="E205" s="3">
        <v>2094750</v>
      </c>
      <c r="F205" s="1">
        <v>2508.68263473053</v>
      </c>
      <c r="G205" s="1">
        <v>3</v>
      </c>
      <c r="H205" s="1">
        <v>1</v>
      </c>
      <c r="I205" s="1">
        <v>2</v>
      </c>
      <c r="J205" s="1">
        <v>1.5</v>
      </c>
      <c r="K205" s="1">
        <v>1</v>
      </c>
      <c r="L205" s="1">
        <v>1</v>
      </c>
      <c r="M205" s="1">
        <v>835</v>
      </c>
      <c r="N205" s="1">
        <v>1408</v>
      </c>
      <c r="O205" s="1">
        <v>2996</v>
      </c>
      <c r="P205" s="1">
        <v>1588</v>
      </c>
      <c r="Q205" s="1" t="s">
        <v>42</v>
      </c>
      <c r="S205" s="1" t="s">
        <v>42</v>
      </c>
      <c r="T205" s="1" t="s">
        <v>48</v>
      </c>
      <c r="U205" s="1">
        <v>119</v>
      </c>
      <c r="V205" s="5">
        <v>44421</v>
      </c>
      <c r="W205" s="5">
        <v>44308</v>
      </c>
      <c r="X205" s="1">
        <v>2094750</v>
      </c>
      <c r="AB205" s="1" t="s">
        <v>44</v>
      </c>
      <c r="AF205" s="1">
        <v>10022</v>
      </c>
      <c r="AI205" s="1" t="s">
        <v>98</v>
      </c>
      <c r="AJ205" s="1">
        <v>2018</v>
      </c>
      <c r="AK205" s="1" t="s">
        <v>50</v>
      </c>
      <c r="AL205" s="1">
        <v>67</v>
      </c>
    </row>
    <row r="206" spans="1:38" x14ac:dyDescent="0.2">
      <c r="A206" s="2" t="str">
        <f>HYPERLINK("https://www.compass.com/listing/200-east-59th-street-unit-5b-manhattan-ny-10022/456383607259558617/","200 E 59th St, Unit 5B")</f>
        <v>200 E 59th St, Unit 5B</v>
      </c>
      <c r="B206" s="2" t="str">
        <f t="shared" si="30"/>
        <v>200 East 59th Street</v>
      </c>
      <c r="C206" s="1" t="s">
        <v>171</v>
      </c>
      <c r="D206" s="1" t="s">
        <v>41</v>
      </c>
      <c r="E206" s="3">
        <v>1732500</v>
      </c>
      <c r="F206" s="1">
        <v>2074.8502994011901</v>
      </c>
      <c r="G206" s="1">
        <v>3</v>
      </c>
      <c r="H206" s="1">
        <v>1</v>
      </c>
      <c r="I206" s="1">
        <v>2</v>
      </c>
      <c r="J206" s="1">
        <v>1.5</v>
      </c>
      <c r="K206" s="1">
        <v>1</v>
      </c>
      <c r="L206" s="1">
        <v>1</v>
      </c>
      <c r="M206" s="1">
        <v>835</v>
      </c>
      <c r="N206" s="1">
        <v>1408</v>
      </c>
      <c r="O206" s="1">
        <v>2996</v>
      </c>
      <c r="P206" s="1">
        <v>1588</v>
      </c>
      <c r="Q206" s="1" t="s">
        <v>42</v>
      </c>
      <c r="S206" s="1" t="s">
        <v>42</v>
      </c>
      <c r="T206" s="1" t="s">
        <v>48</v>
      </c>
      <c r="U206" s="1">
        <v>966</v>
      </c>
      <c r="V206" s="5">
        <v>44427</v>
      </c>
      <c r="W206" s="5">
        <v>43367</v>
      </c>
      <c r="X206" s="1">
        <v>2200000</v>
      </c>
      <c r="AB206" s="1" t="s">
        <v>44</v>
      </c>
      <c r="AF206" s="1">
        <v>10022</v>
      </c>
      <c r="AI206" s="1" t="s">
        <v>93</v>
      </c>
      <c r="AJ206" s="1">
        <v>2018</v>
      </c>
      <c r="AK206" s="1" t="s">
        <v>50</v>
      </c>
      <c r="AL206" s="1">
        <v>67</v>
      </c>
    </row>
    <row r="207" spans="1:38" x14ac:dyDescent="0.2">
      <c r="A207" s="2" t="str">
        <f>HYPERLINK("https://www.compass.com/listing/301-west-53rd-street-unit-22a-manhattan-ny-10019/771899960957023089/","301 W 53rd St, Unit 22A")</f>
        <v>301 W 53rd St, Unit 22A</v>
      </c>
      <c r="B207" s="2" t="str">
        <f t="shared" ref="B207:B208" si="31">HYPERLINK("https://www.compass.com/building/fifty-third-and-eighth-manhattan-ny/281944545158031557/","Fifty Third and Eighth")</f>
        <v>Fifty Third and Eighth</v>
      </c>
      <c r="C207" s="1" t="s">
        <v>57</v>
      </c>
      <c r="D207" s="1" t="s">
        <v>41</v>
      </c>
      <c r="E207" s="3">
        <v>1795000</v>
      </c>
      <c r="F207" s="1">
        <v>1727.62271414821</v>
      </c>
      <c r="G207" s="1">
        <v>4</v>
      </c>
      <c r="H207" s="1">
        <v>3</v>
      </c>
      <c r="I207" s="1">
        <v>2</v>
      </c>
      <c r="J207" s="1">
        <v>2</v>
      </c>
      <c r="K207" s="1">
        <v>2</v>
      </c>
      <c r="M207" s="4">
        <v>1039</v>
      </c>
      <c r="N207" s="1">
        <v>1061</v>
      </c>
      <c r="O207" s="1">
        <v>2810</v>
      </c>
      <c r="P207" s="1">
        <v>1749</v>
      </c>
      <c r="Q207" s="1" t="s">
        <v>42</v>
      </c>
      <c r="S207" s="1" t="s">
        <v>42</v>
      </c>
      <c r="T207" s="1" t="s">
        <v>48</v>
      </c>
      <c r="U207" s="1">
        <v>99</v>
      </c>
      <c r="V207" s="5">
        <v>44423</v>
      </c>
      <c r="W207" s="5">
        <v>44316</v>
      </c>
      <c r="X207" s="1">
        <v>1895000</v>
      </c>
      <c r="AB207" s="1" t="s">
        <v>44</v>
      </c>
      <c r="AF207" s="1">
        <v>10019</v>
      </c>
      <c r="AI207" s="1" t="s">
        <v>76</v>
      </c>
      <c r="AJ207" s="1">
        <v>2017</v>
      </c>
      <c r="AK207" s="1" t="s">
        <v>81</v>
      </c>
      <c r="AL207" s="1">
        <v>248</v>
      </c>
    </row>
    <row r="208" spans="1:38" x14ac:dyDescent="0.2">
      <c r="A208" s="2" t="str">
        <f>HYPERLINK("https://www.compass.com/listing/301-west-53rd-street-unit-10e-manhattan-ny-10019/611539430609886121/","301 W 53rd St, Unit 10E")</f>
        <v>301 W 53rd St, Unit 10E</v>
      </c>
      <c r="B208" s="2" t="str">
        <f t="shared" si="31"/>
        <v>Fifty Third and Eighth</v>
      </c>
      <c r="C208" s="1" t="s">
        <v>57</v>
      </c>
      <c r="D208" s="1" t="s">
        <v>41</v>
      </c>
      <c r="E208" s="3">
        <v>1750000</v>
      </c>
      <c r="F208" s="1">
        <v>1684.3118383060601</v>
      </c>
      <c r="G208" s="1">
        <v>5</v>
      </c>
      <c r="H208" s="1">
        <v>2</v>
      </c>
      <c r="I208" s="1">
        <v>2</v>
      </c>
      <c r="J208" s="1">
        <v>2</v>
      </c>
      <c r="K208" s="1">
        <v>2</v>
      </c>
      <c r="M208" s="4">
        <v>1039</v>
      </c>
      <c r="N208" s="1">
        <v>986</v>
      </c>
      <c r="O208" s="1">
        <v>2364</v>
      </c>
      <c r="P208" s="1">
        <v>1378</v>
      </c>
      <c r="Q208" s="1" t="s">
        <v>42</v>
      </c>
      <c r="S208" s="1" t="s">
        <v>42</v>
      </c>
      <c r="T208" s="1" t="s">
        <v>48</v>
      </c>
      <c r="U208" s="1">
        <v>322</v>
      </c>
      <c r="V208" s="5">
        <v>44427</v>
      </c>
      <c r="W208" s="5">
        <v>44105</v>
      </c>
      <c r="X208" s="1">
        <v>1750000</v>
      </c>
      <c r="AB208" s="1" t="s">
        <v>44</v>
      </c>
      <c r="AF208" s="1">
        <v>10019</v>
      </c>
      <c r="AI208" s="1" t="s">
        <v>154</v>
      </c>
      <c r="AJ208" s="1">
        <v>2017</v>
      </c>
      <c r="AK208" s="1" t="s">
        <v>50</v>
      </c>
      <c r="AL208" s="1">
        <v>248</v>
      </c>
    </row>
    <row r="209" spans="1:38" x14ac:dyDescent="0.2">
      <c r="A209" s="2" t="str">
        <f>HYPERLINK("https://www.compass.com/listing/200-east-59th-street-unit-7c-manhattan-ny-10022/456383748783765169/","200 E 59th St, Unit 7C")</f>
        <v>200 E 59th St, Unit 7C</v>
      </c>
      <c r="B209" s="2" t="str">
        <f>HYPERLINK("https://www.compass.com/building/200-east-59th-street-manhattan-ny/292859303948266645/","200 East 59th Street")</f>
        <v>200 East 59th Street</v>
      </c>
      <c r="C209" s="1" t="s">
        <v>171</v>
      </c>
      <c r="D209" s="1" t="s">
        <v>41</v>
      </c>
      <c r="E209" s="3">
        <v>1942500</v>
      </c>
      <c r="F209" s="1">
        <v>1988.2292732855601</v>
      </c>
      <c r="G209" s="1">
        <v>3</v>
      </c>
      <c r="H209" s="1">
        <v>1</v>
      </c>
      <c r="I209" s="1">
        <v>2</v>
      </c>
      <c r="J209" s="1">
        <v>1.5</v>
      </c>
      <c r="K209" s="1">
        <v>1</v>
      </c>
      <c r="L209" s="1">
        <v>1</v>
      </c>
      <c r="M209" s="1">
        <v>977</v>
      </c>
      <c r="N209" s="1">
        <v>1673</v>
      </c>
      <c r="O209" s="1">
        <v>3560</v>
      </c>
      <c r="P209" s="1">
        <v>1887</v>
      </c>
      <c r="Q209" s="1" t="s">
        <v>42</v>
      </c>
      <c r="S209" s="1" t="s">
        <v>42</v>
      </c>
      <c r="T209" s="1" t="s">
        <v>48</v>
      </c>
      <c r="U209" s="1">
        <v>602</v>
      </c>
      <c r="V209" s="5">
        <v>44427</v>
      </c>
      <c r="W209" s="5">
        <v>43731</v>
      </c>
      <c r="X209" s="1">
        <v>2630000</v>
      </c>
      <c r="AB209" s="1" t="s">
        <v>44</v>
      </c>
      <c r="AF209" s="1">
        <v>10022</v>
      </c>
      <c r="AI209" s="1" t="s">
        <v>93</v>
      </c>
      <c r="AJ209" s="1">
        <v>2018</v>
      </c>
      <c r="AK209" s="1" t="s">
        <v>50</v>
      </c>
      <c r="AL209" s="1">
        <v>67</v>
      </c>
    </row>
    <row r="210" spans="1:38" x14ac:dyDescent="0.2">
      <c r="A210" s="2" t="str">
        <f>HYPERLINK("https://www.compass.com/listing/17-convent-avenue-unit-3a-manhattan-ny-10027/733484595666624569/","17 Convent Ave, Unit 3A")</f>
        <v>17 Convent Ave, Unit 3A</v>
      </c>
      <c r="B210" s="2" t="str">
        <f>HYPERLINK("https://www.compass.com/building/17-convent-avenue-manhattan-ny/281979525124947109/","17 Convent Avenue")</f>
        <v>17 Convent Avenue</v>
      </c>
      <c r="C210" s="1" t="s">
        <v>131</v>
      </c>
      <c r="D210" s="1" t="s">
        <v>41</v>
      </c>
      <c r="E210" s="3">
        <v>890000</v>
      </c>
      <c r="F210" s="1">
        <v>1204.3301759133899</v>
      </c>
      <c r="G210" s="1">
        <v>3</v>
      </c>
      <c r="H210" s="1">
        <v>1</v>
      </c>
      <c r="I210" s="1">
        <v>1</v>
      </c>
      <c r="J210" s="1">
        <v>1</v>
      </c>
      <c r="K210" s="1">
        <v>1</v>
      </c>
      <c r="M210" s="1">
        <v>739</v>
      </c>
      <c r="N210" s="1">
        <v>423</v>
      </c>
      <c r="O210" s="1">
        <v>574</v>
      </c>
      <c r="P210" s="1">
        <v>151</v>
      </c>
      <c r="Q210" s="1" t="s">
        <v>42</v>
      </c>
      <c r="S210" s="1" t="s">
        <v>42</v>
      </c>
      <c r="T210" s="1" t="s">
        <v>48</v>
      </c>
      <c r="U210" s="1">
        <v>164</v>
      </c>
      <c r="V210" s="5">
        <v>44427</v>
      </c>
      <c r="W210" s="5">
        <v>44263</v>
      </c>
      <c r="X210" s="1">
        <v>890000</v>
      </c>
      <c r="AB210" s="1" t="s">
        <v>44</v>
      </c>
      <c r="AF210" s="1">
        <v>10027</v>
      </c>
      <c r="AI210" s="1" t="s">
        <v>49</v>
      </c>
      <c r="AJ210" s="1">
        <v>2019</v>
      </c>
      <c r="AK210" s="1" t="s">
        <v>55</v>
      </c>
      <c r="AL210" s="1">
        <v>21</v>
      </c>
    </row>
    <row r="211" spans="1:38" x14ac:dyDescent="0.2">
      <c r="A211" s="2" t="str">
        <f>HYPERLINK("https://www.compass.com/listing/200-east-59th-street-unit-25e-manhattan-ny-10022/769596354371032465/","200 E 59th St, Unit 25E")</f>
        <v>200 E 59th St, Unit 25E</v>
      </c>
      <c r="B211" s="2" t="str">
        <f>HYPERLINK("https://www.compass.com/building/200-east-59th-street-manhattan-ny/292859303948266645/","200 East 59th Street")</f>
        <v>200 East 59th Street</v>
      </c>
      <c r="C211" s="1" t="s">
        <v>171</v>
      </c>
      <c r="D211" s="1" t="s">
        <v>41</v>
      </c>
      <c r="E211" s="3">
        <v>5635000</v>
      </c>
      <c r="F211" s="1">
        <v>3276.1627906976701</v>
      </c>
      <c r="G211" s="1">
        <v>4</v>
      </c>
      <c r="H211" s="1">
        <v>2</v>
      </c>
      <c r="I211" s="1">
        <v>2</v>
      </c>
      <c r="J211" s="1">
        <v>2</v>
      </c>
      <c r="K211" s="1">
        <v>2</v>
      </c>
      <c r="M211" s="4">
        <v>1720</v>
      </c>
      <c r="N211" s="1">
        <v>3011</v>
      </c>
      <c r="O211" s="1">
        <v>6407</v>
      </c>
      <c r="P211" s="1">
        <v>3396</v>
      </c>
      <c r="Q211" s="1" t="s">
        <v>42</v>
      </c>
      <c r="S211" s="1" t="s">
        <v>42</v>
      </c>
      <c r="T211" s="1" t="s">
        <v>48</v>
      </c>
      <c r="U211" s="1">
        <v>119</v>
      </c>
      <c r="V211" s="5">
        <v>44421</v>
      </c>
      <c r="W211" s="5">
        <v>44308</v>
      </c>
      <c r="X211" s="1">
        <v>5635000</v>
      </c>
      <c r="AB211" s="1" t="s">
        <v>44</v>
      </c>
      <c r="AF211" s="1">
        <v>10022</v>
      </c>
      <c r="AI211" s="1" t="s">
        <v>172</v>
      </c>
      <c r="AJ211" s="1">
        <v>2018</v>
      </c>
      <c r="AK211" s="1" t="s">
        <v>50</v>
      </c>
      <c r="AL211" s="1">
        <v>67</v>
      </c>
    </row>
    <row r="212" spans="1:38" x14ac:dyDescent="0.2">
      <c r="A212" s="2" t="str">
        <f>HYPERLINK("https://www.compass.com/listing/1810-3rd-avenue-unit-a11d-manhattan-ny-10029/795738195630742161/","1810 3rd Ave, Unit A11D")</f>
        <v>1810 3rd Ave, Unit A11D</v>
      </c>
      <c r="B212" s="2" t="str">
        <f>HYPERLINK("https://www.compass.com/building/the-art-house-condominiums-manhattan-ny/281989881993998229/","The Art House Condominiums")</f>
        <v>The Art House Condominiums</v>
      </c>
      <c r="C212" s="1" t="s">
        <v>82</v>
      </c>
      <c r="D212" s="1" t="s">
        <v>41</v>
      </c>
      <c r="E212" s="3">
        <v>560000</v>
      </c>
      <c r="F212" s="1">
        <v>1005.38599640933</v>
      </c>
      <c r="G212" s="1">
        <v>4</v>
      </c>
      <c r="H212" s="1">
        <v>2</v>
      </c>
      <c r="I212" s="1">
        <v>1</v>
      </c>
      <c r="J212" s="1">
        <v>1</v>
      </c>
      <c r="K212" s="1">
        <v>1</v>
      </c>
      <c r="M212" s="1">
        <v>557</v>
      </c>
      <c r="N212" s="1">
        <v>544</v>
      </c>
      <c r="O212" s="1">
        <v>969</v>
      </c>
      <c r="P212" s="1">
        <v>425</v>
      </c>
      <c r="Q212" s="1" t="s">
        <v>42</v>
      </c>
      <c r="S212" s="1" t="s">
        <v>42</v>
      </c>
      <c r="T212" s="1" t="s">
        <v>48</v>
      </c>
      <c r="U212" s="1">
        <v>76</v>
      </c>
      <c r="V212" s="5">
        <v>44426</v>
      </c>
      <c r="W212" s="5">
        <v>44351</v>
      </c>
      <c r="X212" s="1">
        <v>580000</v>
      </c>
      <c r="AB212" s="1" t="s">
        <v>44</v>
      </c>
      <c r="AF212" s="1">
        <v>10029</v>
      </c>
      <c r="AI212" s="1" t="s">
        <v>154</v>
      </c>
      <c r="AJ212" s="1">
        <v>2008</v>
      </c>
      <c r="AK212" s="1" t="s">
        <v>87</v>
      </c>
      <c r="AL212" s="1">
        <v>76</v>
      </c>
    </row>
    <row r="213" spans="1:38" x14ac:dyDescent="0.2">
      <c r="A213" s="2" t="str">
        <f>HYPERLINK("https://www.compass.com/listing/200-east-59th-street-unit-14a-manhattan-ny-10022/768768703586704881/","200 E 59th St, Unit 14A")</f>
        <v>200 E 59th St, Unit 14A</v>
      </c>
      <c r="B213" s="2" t="str">
        <f t="shared" ref="B213:B214" si="32">HYPERLINK("https://www.compass.com/building/200-east-59th-street-manhattan-ny/292859303948266645/","200 East 59th Street")</f>
        <v>200 East 59th Street</v>
      </c>
      <c r="C213" s="1" t="s">
        <v>171</v>
      </c>
      <c r="D213" s="1" t="s">
        <v>41</v>
      </c>
      <c r="E213" s="3">
        <v>3688000</v>
      </c>
      <c r="F213" s="1">
        <v>2604.5197740112899</v>
      </c>
      <c r="G213" s="1">
        <v>4</v>
      </c>
      <c r="H213" s="1">
        <v>2</v>
      </c>
      <c r="I213" s="1">
        <v>3</v>
      </c>
      <c r="J213" s="1">
        <v>2.5</v>
      </c>
      <c r="K213" s="1">
        <v>2</v>
      </c>
      <c r="L213" s="1">
        <v>1</v>
      </c>
      <c r="M213" s="4">
        <v>1416</v>
      </c>
      <c r="N213" s="1">
        <v>2511</v>
      </c>
      <c r="O213" s="1">
        <v>5343</v>
      </c>
      <c r="P213" s="1">
        <v>2832</v>
      </c>
      <c r="Q213" s="1" t="s">
        <v>42</v>
      </c>
      <c r="S213" s="1" t="s">
        <v>42</v>
      </c>
      <c r="T213" s="1" t="s">
        <v>48</v>
      </c>
      <c r="U213" s="1">
        <v>119</v>
      </c>
      <c r="V213" s="5">
        <v>44421</v>
      </c>
      <c r="W213" s="5">
        <v>44308</v>
      </c>
      <c r="X213" s="1">
        <v>1</v>
      </c>
      <c r="AB213" s="1" t="s">
        <v>44</v>
      </c>
      <c r="AF213" s="1">
        <v>10022</v>
      </c>
      <c r="AI213" s="1" t="s">
        <v>173</v>
      </c>
      <c r="AJ213" s="1">
        <v>2018</v>
      </c>
      <c r="AK213" s="1" t="s">
        <v>50</v>
      </c>
      <c r="AL213" s="1">
        <v>67</v>
      </c>
    </row>
    <row r="214" spans="1:38" x14ac:dyDescent="0.2">
      <c r="A214" s="2" t="str">
        <f>HYPERLINK("https://www.compass.com/listing/200-east-59th-street-unit-5a-manhattan-ny-10022/465949918218375809/","200 E 59th St, Unit 5A")</f>
        <v>200 E 59th St, Unit 5A</v>
      </c>
      <c r="B214" s="2" t="str">
        <f t="shared" si="32"/>
        <v>200 East 59th Street</v>
      </c>
      <c r="C214" s="1" t="s">
        <v>171</v>
      </c>
      <c r="D214" s="1" t="s">
        <v>41</v>
      </c>
      <c r="E214" s="3">
        <v>3309000</v>
      </c>
      <c r="F214" s="1">
        <v>2336.8644067796599</v>
      </c>
      <c r="G214" s="1">
        <v>4</v>
      </c>
      <c r="H214" s="1">
        <v>2</v>
      </c>
      <c r="I214" s="1">
        <v>3</v>
      </c>
      <c r="J214" s="1">
        <v>2.5</v>
      </c>
      <c r="K214" s="1">
        <v>2</v>
      </c>
      <c r="L214" s="1">
        <v>1</v>
      </c>
      <c r="M214" s="4">
        <v>1416</v>
      </c>
      <c r="N214" s="1">
        <v>2511</v>
      </c>
      <c r="O214" s="1">
        <v>5343</v>
      </c>
      <c r="P214" s="1">
        <v>2832</v>
      </c>
      <c r="Q214" s="1" t="s">
        <v>42</v>
      </c>
      <c r="S214" s="1" t="s">
        <v>42</v>
      </c>
      <c r="T214" s="1" t="s">
        <v>48</v>
      </c>
      <c r="U214" s="1">
        <v>439</v>
      </c>
      <c r="V214" s="5">
        <v>44427</v>
      </c>
      <c r="W214" s="5">
        <v>43894</v>
      </c>
      <c r="X214" s="1">
        <v>3495000</v>
      </c>
      <c r="AB214" s="1" t="s">
        <v>44</v>
      </c>
      <c r="AF214" s="1">
        <v>10022</v>
      </c>
      <c r="AI214" s="1" t="s">
        <v>174</v>
      </c>
      <c r="AJ214" s="1">
        <v>2018</v>
      </c>
      <c r="AK214" s="1" t="s">
        <v>50</v>
      </c>
      <c r="AL214" s="1">
        <v>67</v>
      </c>
    </row>
    <row r="215" spans="1:38" x14ac:dyDescent="0.2">
      <c r="A215" s="2" t="str">
        <f>HYPERLINK("https://www.compass.com/listing/264-water-street-unit-5d-manhattan-ny-10038/816709003263103697/","264 Water St, Unit 5D")</f>
        <v>264 Water St, Unit 5D</v>
      </c>
      <c r="B215" s="2" t="str">
        <f>HYPERLINK("https://www.compass.com/building/264-water-st-manhattan-ny-10038/820452910768211061/","264 Water St")</f>
        <v>264 Water St</v>
      </c>
      <c r="C215" s="1" t="s">
        <v>155</v>
      </c>
      <c r="D215" s="1" t="s">
        <v>41</v>
      </c>
      <c r="E215" s="3">
        <v>1075000</v>
      </c>
      <c r="F215" s="1">
        <v>964.99102333931705</v>
      </c>
      <c r="G215" s="1">
        <v>5</v>
      </c>
      <c r="H215" s="1">
        <v>2</v>
      </c>
      <c r="I215" s="1">
        <v>2</v>
      </c>
      <c r="J215" s="1">
        <v>1.5</v>
      </c>
      <c r="K215" s="1">
        <v>1</v>
      </c>
      <c r="L215" s="1">
        <v>1</v>
      </c>
      <c r="M215" s="4">
        <v>1114</v>
      </c>
      <c r="N215" s="1">
        <v>964</v>
      </c>
      <c r="O215" s="1">
        <v>2212</v>
      </c>
      <c r="P215" s="1">
        <v>1248</v>
      </c>
      <c r="Q215" s="1" t="s">
        <v>42</v>
      </c>
      <c r="S215" s="1" t="s">
        <v>42</v>
      </c>
      <c r="T215" s="1" t="s">
        <v>48</v>
      </c>
      <c r="U215" s="1">
        <v>49</v>
      </c>
      <c r="V215" s="5">
        <v>44421</v>
      </c>
      <c r="W215" s="5">
        <v>44378</v>
      </c>
      <c r="X215" s="1">
        <v>1075000</v>
      </c>
      <c r="AB215" s="1" t="s">
        <v>44</v>
      </c>
      <c r="AF215" s="1">
        <v>10038</v>
      </c>
      <c r="AJ215" s="1">
        <v>1900</v>
      </c>
      <c r="AL215" s="1">
        <v>27</v>
      </c>
    </row>
    <row r="216" spans="1:38" x14ac:dyDescent="0.2">
      <c r="A216" s="2" t="str">
        <f>HYPERLINK("https://www.compass.com/listing/200-east-59th-street-unit-19d-manhattan-ny-10022/465919597720730825/","200 E 59th St, Unit 19D")</f>
        <v>200 E 59th St, Unit 19D</v>
      </c>
      <c r="B216" s="2" t="str">
        <f t="shared" ref="B216:B218" si="33">HYPERLINK("https://www.compass.com/building/200-east-59th-street-manhattan-ny/292859303948266645/","200 East 59th Street")</f>
        <v>200 East 59th Street</v>
      </c>
      <c r="C216" s="1" t="s">
        <v>171</v>
      </c>
      <c r="D216" s="1" t="s">
        <v>41</v>
      </c>
      <c r="E216" s="3">
        <v>3782000</v>
      </c>
      <c r="F216" s="1">
        <v>2483.2567301378799</v>
      </c>
      <c r="G216" s="1">
        <v>4</v>
      </c>
      <c r="H216" s="1">
        <v>2</v>
      </c>
      <c r="I216" s="1">
        <v>3</v>
      </c>
      <c r="J216" s="1">
        <v>2.5</v>
      </c>
      <c r="K216" s="1">
        <v>2</v>
      </c>
      <c r="L216" s="1">
        <v>1</v>
      </c>
      <c r="M216" s="4">
        <v>1523</v>
      </c>
      <c r="N216" s="1">
        <v>2605</v>
      </c>
      <c r="O216" s="1">
        <v>5543</v>
      </c>
      <c r="P216" s="1">
        <v>2938</v>
      </c>
      <c r="Q216" s="1" t="s">
        <v>42</v>
      </c>
      <c r="S216" s="1" t="s">
        <v>42</v>
      </c>
      <c r="T216" s="1" t="s">
        <v>48</v>
      </c>
      <c r="U216" s="1">
        <v>439</v>
      </c>
      <c r="V216" s="5">
        <v>44427</v>
      </c>
      <c r="W216" s="5">
        <v>43894</v>
      </c>
      <c r="X216" s="1">
        <v>3995000</v>
      </c>
      <c r="AB216" s="1" t="s">
        <v>44</v>
      </c>
      <c r="AF216" s="1">
        <v>10022</v>
      </c>
      <c r="AI216" s="1" t="s">
        <v>93</v>
      </c>
      <c r="AJ216" s="1">
        <v>2018</v>
      </c>
      <c r="AK216" s="1" t="s">
        <v>50</v>
      </c>
      <c r="AL216" s="1">
        <v>67</v>
      </c>
    </row>
    <row r="217" spans="1:38" x14ac:dyDescent="0.2">
      <c r="A217" s="2" t="str">
        <f>HYPERLINK("https://www.compass.com/listing/200-east-59th-street-unit-19e-manhattan-ny-10022/465919642448382953/","200 E 59th St, Unit 19E")</f>
        <v>200 E 59th St, Unit 19E</v>
      </c>
      <c r="B217" s="2" t="str">
        <f t="shared" si="33"/>
        <v>200 East 59th Street</v>
      </c>
      <c r="C217" s="1" t="s">
        <v>171</v>
      </c>
      <c r="D217" s="1" t="s">
        <v>41</v>
      </c>
      <c r="E217" s="3">
        <v>4729000</v>
      </c>
      <c r="F217" s="1">
        <v>2749.41860465116</v>
      </c>
      <c r="G217" s="1">
        <v>5</v>
      </c>
      <c r="H217" s="1">
        <v>2</v>
      </c>
      <c r="I217" s="1">
        <v>3</v>
      </c>
      <c r="J217" s="1">
        <v>2.5</v>
      </c>
      <c r="K217" s="1">
        <v>2</v>
      </c>
      <c r="L217" s="1">
        <v>1</v>
      </c>
      <c r="M217" s="4">
        <v>1720</v>
      </c>
      <c r="N217" s="1">
        <v>3011</v>
      </c>
      <c r="O217" s="1">
        <v>6407</v>
      </c>
      <c r="P217" s="1">
        <v>3396</v>
      </c>
      <c r="Q217" s="1" t="s">
        <v>42</v>
      </c>
      <c r="S217" s="1" t="s">
        <v>42</v>
      </c>
      <c r="T217" s="1" t="s">
        <v>48</v>
      </c>
      <c r="U217" s="1">
        <v>439</v>
      </c>
      <c r="V217" s="5">
        <v>44427</v>
      </c>
      <c r="W217" s="5">
        <v>43894</v>
      </c>
      <c r="X217" s="1">
        <v>4995000</v>
      </c>
      <c r="AB217" s="1" t="s">
        <v>44</v>
      </c>
      <c r="AF217" s="1">
        <v>10022</v>
      </c>
      <c r="AI217" s="1" t="s">
        <v>174</v>
      </c>
      <c r="AJ217" s="1">
        <v>2018</v>
      </c>
      <c r="AK217" s="1" t="s">
        <v>50</v>
      </c>
      <c r="AL217" s="1">
        <v>67</v>
      </c>
    </row>
    <row r="218" spans="1:38" x14ac:dyDescent="0.2">
      <c r="A218" s="2" t="str">
        <f>HYPERLINK("https://www.compass.com/listing/200-east-59th-street-unit-ph34-manhattan-ny-10022/768768268578543929/","200 E 59th St, Unit PH34")</f>
        <v>200 E 59th St, Unit PH34</v>
      </c>
      <c r="B218" s="2" t="str">
        <f t="shared" si="33"/>
        <v>200 East 59th Street</v>
      </c>
      <c r="C218" s="1" t="s">
        <v>171</v>
      </c>
      <c r="D218" s="1" t="s">
        <v>41</v>
      </c>
      <c r="E218" s="3">
        <v>17960000</v>
      </c>
      <c r="F218" s="1">
        <v>4694.1975953998899</v>
      </c>
      <c r="G218" s="1">
        <v>7</v>
      </c>
      <c r="H218" s="1">
        <v>3</v>
      </c>
      <c r="I218" s="1">
        <v>4</v>
      </c>
      <c r="J218" s="1">
        <v>3.5</v>
      </c>
      <c r="K218" s="1">
        <v>3</v>
      </c>
      <c r="L218" s="1">
        <v>1</v>
      </c>
      <c r="M218" s="4">
        <v>3826</v>
      </c>
      <c r="N218" s="1">
        <v>7591</v>
      </c>
      <c r="O218" s="1">
        <v>16149</v>
      </c>
      <c r="P218" s="1">
        <v>8558</v>
      </c>
      <c r="Q218" s="1" t="s">
        <v>42</v>
      </c>
      <c r="S218" s="1" t="s">
        <v>42</v>
      </c>
      <c r="T218" s="1" t="s">
        <v>48</v>
      </c>
      <c r="U218" s="1">
        <v>119</v>
      </c>
      <c r="V218" s="5">
        <v>44421</v>
      </c>
      <c r="W218" s="5">
        <v>44308</v>
      </c>
      <c r="X218" s="1">
        <v>1</v>
      </c>
      <c r="AB218" s="1" t="s">
        <v>44</v>
      </c>
      <c r="AF218" s="1">
        <v>10022</v>
      </c>
      <c r="AI218" s="1" t="s">
        <v>172</v>
      </c>
      <c r="AJ218" s="1">
        <v>2018</v>
      </c>
      <c r="AK218" s="1" t="s">
        <v>50</v>
      </c>
      <c r="AL218" s="1">
        <v>67</v>
      </c>
    </row>
    <row r="219" spans="1:38" x14ac:dyDescent="0.2">
      <c r="A219" s="2" t="str">
        <f>HYPERLINK("https://www.compass.com/listing/1399-park-avenue-unit-9c-manhattan-ny-10029/779810146641574561/","1399 Park Ave, Unit 9C")</f>
        <v>1399 Park Ave, Unit 9C</v>
      </c>
      <c r="B219" s="2" t="str">
        <f t="shared" ref="B219:B220" si="34">HYPERLINK("https://www.compass.com/building/1399-park-manhattan-ny/281988559521557189/","1399 Park")</f>
        <v>1399 Park</v>
      </c>
      <c r="C219" s="1" t="s">
        <v>82</v>
      </c>
      <c r="D219" s="1" t="s">
        <v>41</v>
      </c>
      <c r="E219" s="3">
        <v>1095000</v>
      </c>
      <c r="F219" s="1">
        <v>1138.25363825363</v>
      </c>
      <c r="G219" s="1">
        <v>4</v>
      </c>
      <c r="H219" s="1">
        <v>2</v>
      </c>
      <c r="I219" s="1">
        <v>2</v>
      </c>
      <c r="J219" s="1">
        <v>2</v>
      </c>
      <c r="K219" s="1">
        <v>2</v>
      </c>
      <c r="M219" s="1">
        <v>962</v>
      </c>
      <c r="N219" s="1">
        <v>1117.72</v>
      </c>
      <c r="O219" s="1">
        <v>2205.7600000000002</v>
      </c>
      <c r="P219" s="1">
        <v>1088</v>
      </c>
      <c r="Q219" s="1" t="s">
        <v>42</v>
      </c>
      <c r="S219" s="1" t="s">
        <v>42</v>
      </c>
      <c r="T219" s="1" t="s">
        <v>48</v>
      </c>
      <c r="U219" s="1">
        <v>100</v>
      </c>
      <c r="V219" s="5">
        <v>44424</v>
      </c>
      <c r="W219" s="5">
        <v>44327</v>
      </c>
      <c r="X219" s="1">
        <v>1095000</v>
      </c>
      <c r="AB219" s="1" t="s">
        <v>44</v>
      </c>
      <c r="AD219" s="1" t="s">
        <v>175</v>
      </c>
      <c r="AE219" s="1" t="s">
        <v>176</v>
      </c>
      <c r="AF219" s="1">
        <v>10029</v>
      </c>
      <c r="AI219" s="1" t="s">
        <v>52</v>
      </c>
      <c r="AJ219" s="1">
        <v>2019</v>
      </c>
      <c r="AK219" s="1" t="s">
        <v>87</v>
      </c>
      <c r="AL219" s="1">
        <v>72</v>
      </c>
    </row>
    <row r="220" spans="1:38" x14ac:dyDescent="0.2">
      <c r="A220" s="2" t="str">
        <f>HYPERLINK("https://www.compass.com/listing/1399-park-avenue-unit-20-21b-manhattan-ny-10029/373287619017623361/","1399 Park Ave, Unit 20/21B")</f>
        <v>1399 Park Ave, Unit 20/21B</v>
      </c>
      <c r="B220" s="2" t="str">
        <f t="shared" si="34"/>
        <v>1399 Park</v>
      </c>
      <c r="C220" s="1" t="s">
        <v>82</v>
      </c>
      <c r="D220" s="1" t="s">
        <v>41</v>
      </c>
      <c r="E220" s="3">
        <v>2945000</v>
      </c>
      <c r="F220" s="1">
        <v>957.10107247318797</v>
      </c>
      <c r="G220" s="1">
        <v>7</v>
      </c>
      <c r="H220" s="1">
        <v>3</v>
      </c>
      <c r="I220" s="1">
        <v>3</v>
      </c>
      <c r="J220" s="1">
        <v>2.5</v>
      </c>
      <c r="K220" s="1">
        <v>2</v>
      </c>
      <c r="L220" s="1">
        <v>1</v>
      </c>
      <c r="M220" s="4">
        <v>3077</v>
      </c>
      <c r="N220" s="1">
        <v>3743</v>
      </c>
      <c r="O220" s="1">
        <v>7385</v>
      </c>
      <c r="P220" s="1">
        <v>3642</v>
      </c>
      <c r="Q220" s="1" t="s">
        <v>42</v>
      </c>
      <c r="S220" s="1" t="s">
        <v>42</v>
      </c>
      <c r="T220" s="1" t="s">
        <v>48</v>
      </c>
      <c r="U220" s="1">
        <v>567</v>
      </c>
      <c r="V220" s="5">
        <v>44424</v>
      </c>
      <c r="W220" s="5">
        <v>43766</v>
      </c>
      <c r="X220" s="1">
        <v>3950000</v>
      </c>
      <c r="AB220" s="1" t="s">
        <v>44</v>
      </c>
      <c r="AD220" s="1" t="s">
        <v>175</v>
      </c>
      <c r="AE220" s="1" t="s">
        <v>176</v>
      </c>
      <c r="AF220" s="1">
        <v>10029</v>
      </c>
      <c r="AI220" s="1" t="s">
        <v>123</v>
      </c>
      <c r="AJ220" s="1">
        <v>2019</v>
      </c>
      <c r="AK220" s="1" t="s">
        <v>87</v>
      </c>
      <c r="AL220" s="1">
        <v>72</v>
      </c>
    </row>
    <row r="221" spans="1:38" x14ac:dyDescent="0.2">
      <c r="A221" s="2" t="str">
        <f>HYPERLINK("https://www.compass.com/listing/242-broome-street-unit-8b-manhattan-ny-10002/795529532455132737/","242 Broome St, Unit 8B")</f>
        <v>242 Broome St, Unit 8B</v>
      </c>
      <c r="B221" s="2" t="str">
        <f>HYPERLINK("https://www.compass.com/building/242-broome-essex-crossing-manhattan-ny/292776610392708181/","242 Broome, Essex Crossing")</f>
        <v>242 Broome, Essex Crossing</v>
      </c>
      <c r="C221" s="1" t="s">
        <v>84</v>
      </c>
      <c r="D221" s="1" t="s">
        <v>41</v>
      </c>
      <c r="E221" s="3">
        <v>1599000</v>
      </c>
      <c r="F221" s="1">
        <v>2068.5640362225099</v>
      </c>
      <c r="G221" s="1">
        <v>3</v>
      </c>
      <c r="H221" s="1">
        <v>1</v>
      </c>
      <c r="I221" s="1">
        <v>1</v>
      </c>
      <c r="J221" s="1">
        <v>1</v>
      </c>
      <c r="K221" s="1">
        <v>1</v>
      </c>
      <c r="M221" s="1">
        <v>773</v>
      </c>
      <c r="N221" s="1">
        <v>1505</v>
      </c>
      <c r="O221" s="1">
        <v>1879</v>
      </c>
      <c r="P221" s="1">
        <v>374</v>
      </c>
      <c r="Q221" s="1" t="s">
        <v>42</v>
      </c>
      <c r="S221" s="1" t="s">
        <v>42</v>
      </c>
      <c r="T221" s="1" t="s">
        <v>48</v>
      </c>
      <c r="U221" s="1">
        <v>77</v>
      </c>
      <c r="V221" s="5">
        <v>44401</v>
      </c>
      <c r="W221" s="5">
        <v>44349</v>
      </c>
      <c r="X221" s="1">
        <v>1599000</v>
      </c>
      <c r="AB221" s="1" t="s">
        <v>44</v>
      </c>
      <c r="AF221" s="1">
        <v>10002</v>
      </c>
      <c r="AI221" s="1" t="s">
        <v>177</v>
      </c>
      <c r="AJ221" s="1">
        <v>2018</v>
      </c>
      <c r="AK221" s="1" t="s">
        <v>81</v>
      </c>
      <c r="AL221" s="1">
        <v>55</v>
      </c>
    </row>
    <row r="222" spans="1:38" x14ac:dyDescent="0.2">
      <c r="A222" s="2" t="str">
        <f>HYPERLINK("https://www.compass.com/listing/287-east-houston-street-unit-7b-manhattan-ny-10002/794784088158007929/","287 E Houston St, Unit 7B")</f>
        <v>287 E Houston St, Unit 7B</v>
      </c>
      <c r="B222" s="2" t="str">
        <f>HYPERLINK("https://www.compass.com/building/287-les-manhattan-ny/281886930822496357/","287/LES")</f>
        <v>287/LES</v>
      </c>
      <c r="C222" s="1" t="s">
        <v>84</v>
      </c>
      <c r="D222" s="1" t="s">
        <v>41</v>
      </c>
      <c r="E222" s="3">
        <v>1595000</v>
      </c>
      <c r="G222" s="1">
        <v>3</v>
      </c>
      <c r="H222" s="1">
        <v>1</v>
      </c>
      <c r="I222" s="1">
        <v>1</v>
      </c>
      <c r="J222" s="1">
        <v>1</v>
      </c>
      <c r="K222" s="1">
        <v>1</v>
      </c>
      <c r="N222" s="1">
        <v>1177</v>
      </c>
      <c r="O222" s="1">
        <v>2241</v>
      </c>
      <c r="P222" s="1">
        <v>1064</v>
      </c>
      <c r="Q222" s="1" t="s">
        <v>42</v>
      </c>
      <c r="S222" s="1" t="s">
        <v>42</v>
      </c>
      <c r="T222" s="1" t="s">
        <v>48</v>
      </c>
      <c r="U222" s="1">
        <v>79</v>
      </c>
      <c r="V222" s="5">
        <v>44426</v>
      </c>
      <c r="W222" s="5">
        <v>44348</v>
      </c>
      <c r="X222" s="1">
        <v>1595000</v>
      </c>
      <c r="AB222" s="1" t="s">
        <v>44</v>
      </c>
      <c r="AF222" s="1">
        <v>10002</v>
      </c>
      <c r="AI222" s="1" t="s">
        <v>45</v>
      </c>
      <c r="AJ222" s="1">
        <v>2018</v>
      </c>
      <c r="AK222" s="1" t="s">
        <v>178</v>
      </c>
      <c r="AL222" s="1">
        <v>27</v>
      </c>
    </row>
    <row r="223" spans="1:38" x14ac:dyDescent="0.2">
      <c r="A223" s="2" t="str">
        <f>HYPERLINK("https://www.compass.com/listing/150-rivington-street-unit-2b-manhattan-ny-10002/789868258746478841/","150 Rivington St, Unit 2B")</f>
        <v>150 Rivington St, Unit 2B</v>
      </c>
      <c r="B223" s="2" t="str">
        <f>HYPERLINK("https://www.compass.com/building/150-rivington-street-manhattan-ny/282058947895000453/","150 Rivington Street")</f>
        <v>150 Rivington Street</v>
      </c>
      <c r="C223" s="1" t="s">
        <v>84</v>
      </c>
      <c r="D223" s="1" t="s">
        <v>41</v>
      </c>
      <c r="E223" s="3">
        <v>1650000</v>
      </c>
      <c r="F223" s="1">
        <v>2298.0501392757601</v>
      </c>
      <c r="G223" s="1">
        <v>3</v>
      </c>
      <c r="H223" s="1">
        <v>1</v>
      </c>
      <c r="I223" s="1">
        <v>1</v>
      </c>
      <c r="J223" s="1">
        <v>1</v>
      </c>
      <c r="K223" s="1">
        <v>1</v>
      </c>
      <c r="M223" s="1">
        <v>718</v>
      </c>
      <c r="N223" s="1">
        <v>1173</v>
      </c>
      <c r="O223" s="1">
        <v>2195</v>
      </c>
      <c r="P223" s="1">
        <v>1022</v>
      </c>
      <c r="Q223" s="1" t="s">
        <v>42</v>
      </c>
      <c r="S223" s="1" t="s">
        <v>42</v>
      </c>
      <c r="T223" s="1" t="s">
        <v>48</v>
      </c>
      <c r="U223" s="1">
        <v>85</v>
      </c>
      <c r="V223" s="5">
        <v>44361</v>
      </c>
      <c r="W223" s="5">
        <v>44342</v>
      </c>
      <c r="X223" s="1">
        <v>1650000</v>
      </c>
      <c r="AB223" s="1" t="s">
        <v>44</v>
      </c>
      <c r="AF223" s="1">
        <v>10002</v>
      </c>
      <c r="AI223" s="1" t="s">
        <v>179</v>
      </c>
      <c r="AJ223" s="1">
        <v>2019</v>
      </c>
      <c r="AK223" s="1" t="s">
        <v>87</v>
      </c>
      <c r="AL223" s="1">
        <v>45</v>
      </c>
    </row>
    <row r="224" spans="1:38" x14ac:dyDescent="0.2">
      <c r="A224" s="2" t="str">
        <f>HYPERLINK("https://www.compass.com/listing/287-east-houston-street-unit-6a-manhattan-ny-10002/29514948199603841/","287 E Houston St, Unit 6A")</f>
        <v>287 E Houston St, Unit 6A</v>
      </c>
      <c r="B224" s="2" t="str">
        <f t="shared" ref="B224:B225" si="35">HYPERLINK("https://www.compass.com/building/287-les-manhattan-ny/281886930822496357/","287/LES")</f>
        <v>287/LES</v>
      </c>
      <c r="C224" s="1" t="s">
        <v>84</v>
      </c>
      <c r="D224" s="1" t="s">
        <v>41</v>
      </c>
      <c r="E224" s="3">
        <v>2550000</v>
      </c>
      <c r="F224" s="1">
        <v>1839.8268398268399</v>
      </c>
      <c r="G224" s="1">
        <v>4</v>
      </c>
      <c r="H224" s="1">
        <v>2</v>
      </c>
      <c r="I224" s="1">
        <v>2</v>
      </c>
      <c r="J224" s="1">
        <v>2</v>
      </c>
      <c r="K224" s="1">
        <v>2</v>
      </c>
      <c r="M224" s="4">
        <v>1386</v>
      </c>
      <c r="N224" s="1">
        <v>1280</v>
      </c>
      <c r="O224" s="1">
        <v>3241</v>
      </c>
      <c r="P224" s="1">
        <v>1961</v>
      </c>
      <c r="Q224" s="1" t="s">
        <v>42</v>
      </c>
      <c r="S224" s="1" t="s">
        <v>42</v>
      </c>
      <c r="T224" s="1" t="s">
        <v>48</v>
      </c>
      <c r="U224" s="1">
        <v>741</v>
      </c>
      <c r="V224" s="5">
        <v>44414</v>
      </c>
      <c r="W224" s="5">
        <v>43592</v>
      </c>
      <c r="X224" s="1">
        <v>2675000</v>
      </c>
      <c r="AB224" s="1" t="s">
        <v>44</v>
      </c>
      <c r="AF224" s="1">
        <v>10002</v>
      </c>
      <c r="AI224" s="1" t="s">
        <v>45</v>
      </c>
      <c r="AJ224" s="1">
        <v>2018</v>
      </c>
      <c r="AK224" s="1" t="s">
        <v>178</v>
      </c>
      <c r="AL224" s="1">
        <v>27</v>
      </c>
    </row>
    <row r="225" spans="1:39" x14ac:dyDescent="0.2">
      <c r="A225" s="2" t="str">
        <f>HYPERLINK("https://www.compass.com/listing/287-east-houston-street-unit-pha-manhattan-ny-10002/441069573178148249/","287 E Houston St, Unit PHA")</f>
        <v>287 E Houston St, Unit PHA</v>
      </c>
      <c r="B225" s="2" t="str">
        <f t="shared" si="35"/>
        <v>287/LES</v>
      </c>
      <c r="C225" s="1" t="s">
        <v>84</v>
      </c>
      <c r="D225" s="1" t="s">
        <v>41</v>
      </c>
      <c r="E225" s="3">
        <v>2800000</v>
      </c>
      <c r="F225" s="1">
        <v>2347.0243084660501</v>
      </c>
      <c r="G225" s="1">
        <v>4</v>
      </c>
      <c r="H225" s="1">
        <v>2</v>
      </c>
      <c r="I225" s="1">
        <v>2</v>
      </c>
      <c r="J225" s="1">
        <v>2</v>
      </c>
      <c r="K225" s="1">
        <v>2</v>
      </c>
      <c r="M225" s="4">
        <v>1193</v>
      </c>
      <c r="N225" s="1">
        <v>1187</v>
      </c>
      <c r="O225" s="1">
        <v>3007</v>
      </c>
      <c r="P225" s="1">
        <v>1820</v>
      </c>
      <c r="Q225" s="1" t="s">
        <v>42</v>
      </c>
      <c r="S225" s="1" t="s">
        <v>42</v>
      </c>
      <c r="T225" s="1" t="s">
        <v>48</v>
      </c>
      <c r="U225" s="1">
        <v>473</v>
      </c>
      <c r="V225" s="5">
        <v>44414</v>
      </c>
      <c r="W225" s="5">
        <v>43860</v>
      </c>
      <c r="X225" s="1">
        <v>2950000</v>
      </c>
      <c r="AB225" s="1" t="s">
        <v>44</v>
      </c>
      <c r="AF225" s="1">
        <v>10002</v>
      </c>
      <c r="AI225" s="1" t="s">
        <v>108</v>
      </c>
      <c r="AJ225" s="1">
        <v>2018</v>
      </c>
      <c r="AK225" s="1" t="s">
        <v>178</v>
      </c>
      <c r="AL225" s="1">
        <v>27</v>
      </c>
    </row>
    <row r="226" spans="1:39" x14ac:dyDescent="0.2">
      <c r="A226" s="2" t="str">
        <f>HYPERLINK("https://www.compass.com/listing/25-park-row-unit-21a-manhattan-ny-10038/719624547045037473/","25 Park Row, Unit 21A")</f>
        <v>25 Park Row, Unit 21A</v>
      </c>
      <c r="B226" s="2" t="str">
        <f t="shared" ref="B226:B235" si="36">HYPERLINK("https://www.compass.com/building/25-park-row-manhattan-ny-10038/292920743539264837/","25 Park Row")</f>
        <v>25 Park Row</v>
      </c>
      <c r="C226" s="1" t="s">
        <v>155</v>
      </c>
      <c r="D226" s="1" t="s">
        <v>41</v>
      </c>
      <c r="E226" s="3">
        <v>3050000</v>
      </c>
      <c r="F226" s="1">
        <v>1957.6379974326001</v>
      </c>
      <c r="G226" s="1">
        <v>4.5</v>
      </c>
      <c r="H226" s="1">
        <v>2</v>
      </c>
      <c r="I226" s="1">
        <v>3</v>
      </c>
      <c r="J226" s="1">
        <v>2.5</v>
      </c>
      <c r="K226" s="1">
        <v>2</v>
      </c>
      <c r="L226" s="1">
        <v>1</v>
      </c>
      <c r="M226" s="4">
        <v>1558</v>
      </c>
      <c r="N226" s="1">
        <v>3002.12</v>
      </c>
      <c r="O226" s="1">
        <v>5005.42</v>
      </c>
      <c r="P226" s="1">
        <v>2003.3333333333301</v>
      </c>
      <c r="Q226" s="1" t="s">
        <v>42</v>
      </c>
      <c r="S226" s="1" t="s">
        <v>42</v>
      </c>
      <c r="T226" s="1" t="s">
        <v>48</v>
      </c>
      <c r="U226" s="1">
        <v>183</v>
      </c>
      <c r="V226" s="5">
        <v>44415</v>
      </c>
      <c r="W226" s="5">
        <v>44244</v>
      </c>
      <c r="X226" s="1">
        <v>3050000</v>
      </c>
      <c r="AB226" s="1" t="s">
        <v>44</v>
      </c>
      <c r="AF226" s="1">
        <v>10038</v>
      </c>
      <c r="AI226" s="1" t="s">
        <v>180</v>
      </c>
      <c r="AJ226" s="1">
        <v>2019</v>
      </c>
      <c r="AK226" s="1" t="s">
        <v>87</v>
      </c>
      <c r="AL226" s="1">
        <v>110</v>
      </c>
    </row>
    <row r="227" spans="1:39" x14ac:dyDescent="0.2">
      <c r="A227" s="2" t="str">
        <f>HYPERLINK("https://www.compass.com/listing/25-park-row-unit-10a-manhattan-ny-10038/690087788910121321/","25 Park Row, Unit 10A")</f>
        <v>25 Park Row, Unit 10A</v>
      </c>
      <c r="B227" s="2" t="str">
        <f t="shared" si="36"/>
        <v>25 Park Row</v>
      </c>
      <c r="C227" s="1" t="s">
        <v>155</v>
      </c>
      <c r="D227" s="1" t="s">
        <v>41</v>
      </c>
      <c r="E227" s="3">
        <v>2815000</v>
      </c>
      <c r="F227" s="1">
        <v>1831.4899154196401</v>
      </c>
      <c r="G227" s="1">
        <v>4.5</v>
      </c>
      <c r="H227" s="1">
        <v>2</v>
      </c>
      <c r="I227" s="1">
        <v>3</v>
      </c>
      <c r="J227" s="1">
        <v>2.5</v>
      </c>
      <c r="K227" s="1">
        <v>2</v>
      </c>
      <c r="L227" s="1">
        <v>1</v>
      </c>
      <c r="M227" s="4">
        <v>1537</v>
      </c>
      <c r="N227" s="1">
        <v>2824</v>
      </c>
      <c r="O227" s="1">
        <v>4708.37</v>
      </c>
      <c r="P227" s="1">
        <v>1884.3333333333301</v>
      </c>
      <c r="Q227" s="1" t="s">
        <v>42</v>
      </c>
      <c r="S227" s="1" t="s">
        <v>42</v>
      </c>
      <c r="T227" s="1" t="s">
        <v>48</v>
      </c>
      <c r="U227" s="1">
        <v>224</v>
      </c>
      <c r="V227" s="5">
        <v>44415</v>
      </c>
      <c r="W227" s="5">
        <v>44203</v>
      </c>
      <c r="X227" s="1">
        <v>2815000</v>
      </c>
      <c r="AB227" s="1" t="s">
        <v>44</v>
      </c>
      <c r="AF227" s="1">
        <v>10038</v>
      </c>
      <c r="AI227" s="1" t="s">
        <v>181</v>
      </c>
      <c r="AJ227" s="1">
        <v>2019</v>
      </c>
      <c r="AK227" s="1" t="s">
        <v>87</v>
      </c>
      <c r="AL227" s="1">
        <v>110</v>
      </c>
    </row>
    <row r="228" spans="1:39" x14ac:dyDescent="0.2">
      <c r="A228" s="2" t="str">
        <f>HYPERLINK("https://www.compass.com/listing/25-park-row-unit-25a-manhattan-ny-10038/223044030731127297/","25 Park Row, Unit 25A")</f>
        <v>25 Park Row, Unit 25A</v>
      </c>
      <c r="B228" s="2" t="str">
        <f t="shared" si="36"/>
        <v>25 Park Row</v>
      </c>
      <c r="C228" s="1" t="s">
        <v>155</v>
      </c>
      <c r="D228" s="1" t="s">
        <v>41</v>
      </c>
      <c r="E228" s="3">
        <v>4170000</v>
      </c>
      <c r="F228" s="1">
        <v>2306.4159292035301</v>
      </c>
      <c r="G228" s="1">
        <v>5</v>
      </c>
      <c r="H228" s="1">
        <v>3</v>
      </c>
      <c r="I228" s="1">
        <v>3</v>
      </c>
      <c r="J228" s="1">
        <v>3</v>
      </c>
      <c r="K228" s="1">
        <v>3</v>
      </c>
      <c r="M228" s="4">
        <v>1808</v>
      </c>
      <c r="N228" s="1">
        <v>3652.06</v>
      </c>
      <c r="O228" s="1">
        <v>6088.82</v>
      </c>
      <c r="P228" s="1">
        <v>2436.75</v>
      </c>
      <c r="Q228" s="1" t="s">
        <v>42</v>
      </c>
      <c r="S228" s="1" t="s">
        <v>42</v>
      </c>
      <c r="T228" s="1" t="s">
        <v>48</v>
      </c>
      <c r="U228" s="1">
        <v>225</v>
      </c>
      <c r="V228" s="5">
        <v>44415</v>
      </c>
      <c r="W228" s="5">
        <v>44132</v>
      </c>
      <c r="AB228" s="1" t="s">
        <v>44</v>
      </c>
      <c r="AF228" s="1">
        <v>10038</v>
      </c>
      <c r="AI228" s="1" t="s">
        <v>157</v>
      </c>
      <c r="AJ228" s="1">
        <v>2019</v>
      </c>
      <c r="AK228" s="1" t="s">
        <v>87</v>
      </c>
      <c r="AL228" s="1">
        <v>110</v>
      </c>
    </row>
    <row r="229" spans="1:39" x14ac:dyDescent="0.2">
      <c r="A229" s="2" t="str">
        <f>HYPERLINK("https://www.compass.com/listing/25-park-row-unit-15a-manhattan-ny-10038/266602881518430481/","25 Park Row, Unit 15A")</f>
        <v>25 Park Row, Unit 15A</v>
      </c>
      <c r="B229" s="2" t="str">
        <f t="shared" si="36"/>
        <v>25 Park Row</v>
      </c>
      <c r="C229" s="1" t="s">
        <v>155</v>
      </c>
      <c r="D229" s="1" t="s">
        <v>41</v>
      </c>
      <c r="E229" s="3">
        <v>4150000</v>
      </c>
      <c r="F229" s="1">
        <v>2013.58563803978</v>
      </c>
      <c r="G229" s="1">
        <v>5.5</v>
      </c>
      <c r="H229" s="1">
        <v>3</v>
      </c>
      <c r="I229" s="1">
        <v>4</v>
      </c>
      <c r="J229" s="1">
        <v>3.5</v>
      </c>
      <c r="K229" s="1">
        <v>3</v>
      </c>
      <c r="L229" s="1">
        <v>1</v>
      </c>
      <c r="M229" s="4">
        <v>2061</v>
      </c>
      <c r="N229" s="1">
        <v>3860.94</v>
      </c>
      <c r="O229" s="1">
        <v>6436.7</v>
      </c>
      <c r="P229" s="1">
        <v>2575.75</v>
      </c>
      <c r="Q229" s="1" t="s">
        <v>42</v>
      </c>
      <c r="S229" s="1" t="s">
        <v>42</v>
      </c>
      <c r="T229" s="1" t="s">
        <v>48</v>
      </c>
      <c r="U229" s="1">
        <v>223</v>
      </c>
      <c r="V229" s="5">
        <v>44415</v>
      </c>
      <c r="W229" s="5">
        <v>44203</v>
      </c>
      <c r="X229" s="1">
        <v>4150000</v>
      </c>
      <c r="AB229" s="1" t="s">
        <v>44</v>
      </c>
      <c r="AF229" s="1">
        <v>10038</v>
      </c>
      <c r="AI229" s="1" t="s">
        <v>182</v>
      </c>
      <c r="AJ229" s="1">
        <v>2019</v>
      </c>
      <c r="AK229" s="1" t="s">
        <v>87</v>
      </c>
      <c r="AL229" s="1">
        <v>110</v>
      </c>
    </row>
    <row r="230" spans="1:39" x14ac:dyDescent="0.2">
      <c r="A230" s="2" t="str">
        <f>HYPERLINK("https://www.compass.com/listing/25-park-row-unit-15c-manhattan-ny-10038/243338152054378513/","25 Park Row, Unit 15C")</f>
        <v>25 Park Row, Unit 15C</v>
      </c>
      <c r="B230" s="2" t="str">
        <f t="shared" si="36"/>
        <v>25 Park Row</v>
      </c>
      <c r="C230" s="1" t="s">
        <v>155</v>
      </c>
      <c r="D230" s="1" t="s">
        <v>41</v>
      </c>
      <c r="E230" s="3">
        <v>4420000</v>
      </c>
      <c r="F230" s="1">
        <v>2130.12048192771</v>
      </c>
      <c r="G230" s="1">
        <v>5.5</v>
      </c>
      <c r="H230" s="1">
        <v>3</v>
      </c>
      <c r="I230" s="1">
        <v>4</v>
      </c>
      <c r="J230" s="1">
        <v>3.5</v>
      </c>
      <c r="K230" s="1">
        <v>3</v>
      </c>
      <c r="L230" s="1">
        <v>1</v>
      </c>
      <c r="M230" s="4">
        <v>2075</v>
      </c>
      <c r="N230" s="1">
        <v>3887.05</v>
      </c>
      <c r="O230" s="1">
        <v>6480.66</v>
      </c>
      <c r="P230" s="1">
        <v>2593.5833333333298</v>
      </c>
      <c r="Q230" s="1" t="s">
        <v>42</v>
      </c>
      <c r="S230" s="1" t="s">
        <v>42</v>
      </c>
      <c r="T230" s="1" t="s">
        <v>48</v>
      </c>
      <c r="U230" s="1">
        <v>352</v>
      </c>
      <c r="V230" s="5">
        <v>44415</v>
      </c>
      <c r="W230" s="5">
        <v>44075</v>
      </c>
      <c r="AB230" s="1" t="s">
        <v>44</v>
      </c>
      <c r="AF230" s="1">
        <v>10038</v>
      </c>
      <c r="AI230" s="1" t="s">
        <v>181</v>
      </c>
      <c r="AJ230" s="1">
        <v>2019</v>
      </c>
      <c r="AK230" s="1" t="s">
        <v>87</v>
      </c>
      <c r="AL230" s="1">
        <v>110</v>
      </c>
    </row>
    <row r="231" spans="1:39" x14ac:dyDescent="0.2">
      <c r="A231" s="2" t="str">
        <f>HYPERLINK("https://www.compass.com/listing/25-park-row-unit-36a-manhattan-ny-10038/555784845568285881/","25 Park Row, Unit 36A")</f>
        <v>25 Park Row, Unit 36A</v>
      </c>
      <c r="B231" s="2" t="str">
        <f t="shared" si="36"/>
        <v>25 Park Row</v>
      </c>
      <c r="C231" s="1" t="s">
        <v>155</v>
      </c>
      <c r="D231" s="1" t="s">
        <v>41</v>
      </c>
      <c r="E231" s="3">
        <v>3890000</v>
      </c>
      <c r="F231" s="1">
        <v>2408.6687306501499</v>
      </c>
      <c r="G231" s="1">
        <v>4.5</v>
      </c>
      <c r="H231" s="1">
        <v>2</v>
      </c>
      <c r="I231" s="1">
        <v>3</v>
      </c>
      <c r="J231" s="1">
        <v>2.5</v>
      </c>
      <c r="K231" s="1">
        <v>2</v>
      </c>
      <c r="L231" s="1">
        <v>1</v>
      </c>
      <c r="M231" s="4">
        <v>1615</v>
      </c>
      <c r="N231" s="1">
        <v>3457.6</v>
      </c>
      <c r="O231" s="1">
        <v>5764.7999999999902</v>
      </c>
      <c r="P231" s="1">
        <v>2307.1666666666601</v>
      </c>
      <c r="Q231" s="1" t="s">
        <v>42</v>
      </c>
      <c r="S231" s="1" t="s">
        <v>42</v>
      </c>
      <c r="T231" s="1" t="s">
        <v>48</v>
      </c>
      <c r="U231" s="1">
        <v>409</v>
      </c>
      <c r="V231" s="5">
        <v>44427</v>
      </c>
      <c r="W231" s="5">
        <v>44018</v>
      </c>
      <c r="X231" s="1">
        <v>3890000</v>
      </c>
      <c r="AB231" s="1" t="s">
        <v>44</v>
      </c>
      <c r="AF231" s="1">
        <v>10038</v>
      </c>
      <c r="AI231" s="1" t="s">
        <v>93</v>
      </c>
      <c r="AJ231" s="1">
        <v>2019</v>
      </c>
      <c r="AK231" s="1" t="s">
        <v>87</v>
      </c>
      <c r="AL231" s="1">
        <v>110</v>
      </c>
    </row>
    <row r="232" spans="1:39" x14ac:dyDescent="0.2">
      <c r="A232" s="2" t="str">
        <f>HYPERLINK("https://www.compass.com/listing/25-park-row-unit-6e-manhattan-ny-10038/178438719685019409/","25 Park Row, Unit 6E")</f>
        <v>25 Park Row, Unit 6E</v>
      </c>
      <c r="B232" s="2" t="str">
        <f t="shared" si="36"/>
        <v>25 Park Row</v>
      </c>
      <c r="C232" s="1" t="s">
        <v>155</v>
      </c>
      <c r="D232" s="1" t="s">
        <v>41</v>
      </c>
      <c r="E232" s="3">
        <v>3575000</v>
      </c>
      <c r="F232" s="1">
        <v>1918.9479334406799</v>
      </c>
      <c r="G232" s="1">
        <v>5</v>
      </c>
      <c r="H232" s="1">
        <v>3</v>
      </c>
      <c r="I232" s="1">
        <v>3</v>
      </c>
      <c r="J232" s="1">
        <v>3</v>
      </c>
      <c r="K232" s="1">
        <v>3</v>
      </c>
      <c r="M232" s="4">
        <v>1863</v>
      </c>
      <c r="N232" s="1">
        <v>3356.46</v>
      </c>
      <c r="O232" s="1">
        <v>5595.95</v>
      </c>
      <c r="P232" s="1">
        <v>2239.5</v>
      </c>
      <c r="Q232" s="1" t="s">
        <v>42</v>
      </c>
      <c r="S232" s="1" t="s">
        <v>42</v>
      </c>
      <c r="T232" s="1" t="s">
        <v>48</v>
      </c>
      <c r="U232" s="1">
        <v>188</v>
      </c>
      <c r="V232" s="5">
        <v>44415</v>
      </c>
      <c r="W232" s="5">
        <v>44106</v>
      </c>
      <c r="AB232" s="1" t="s">
        <v>44</v>
      </c>
      <c r="AF232" s="1">
        <v>10038</v>
      </c>
      <c r="AI232" s="1" t="s">
        <v>183</v>
      </c>
      <c r="AJ232" s="1">
        <v>2019</v>
      </c>
      <c r="AK232" s="1" t="s">
        <v>87</v>
      </c>
      <c r="AL232" s="1">
        <v>110</v>
      </c>
    </row>
    <row r="233" spans="1:39" x14ac:dyDescent="0.2">
      <c r="A233" s="2" t="str">
        <f>HYPERLINK("https://www.compass.com/listing/25-park-row-unit-ph42a-manhattan-ny-10038/178301085419586449/","25 Park Row, Unit PH42A")</f>
        <v>25 Park Row, Unit PH42A</v>
      </c>
      <c r="B233" s="2" t="str">
        <f t="shared" si="36"/>
        <v>25 Park Row</v>
      </c>
      <c r="C233" s="1" t="s">
        <v>155</v>
      </c>
      <c r="D233" s="1" t="s">
        <v>41</v>
      </c>
      <c r="E233" s="3">
        <v>12500000</v>
      </c>
      <c r="F233" s="1">
        <v>3491.6201117318401</v>
      </c>
      <c r="G233" s="1">
        <v>7</v>
      </c>
      <c r="H233" s="1">
        <v>4</v>
      </c>
      <c r="I233" s="1">
        <v>5</v>
      </c>
      <c r="J233" s="1">
        <v>4.5</v>
      </c>
      <c r="K233" s="1">
        <v>4</v>
      </c>
      <c r="L233" s="1">
        <v>1</v>
      </c>
      <c r="M233" s="4">
        <v>3580</v>
      </c>
      <c r="N233" s="1">
        <v>8781.66</v>
      </c>
      <c r="O233" s="1">
        <v>14641.14</v>
      </c>
      <c r="P233" s="1">
        <v>5859.5</v>
      </c>
      <c r="Q233" s="1" t="s">
        <v>42</v>
      </c>
      <c r="S233" s="1" t="s">
        <v>42</v>
      </c>
      <c r="T233" s="1" t="s">
        <v>48</v>
      </c>
      <c r="U233" s="1">
        <v>840</v>
      </c>
      <c r="V233" s="5">
        <v>44420</v>
      </c>
      <c r="W233" s="5">
        <v>43493</v>
      </c>
      <c r="X233" s="1">
        <v>12500000</v>
      </c>
      <c r="AB233" s="1" t="s">
        <v>44</v>
      </c>
      <c r="AF233" s="1">
        <v>10038</v>
      </c>
      <c r="AI233" s="1" t="s">
        <v>184</v>
      </c>
      <c r="AJ233" s="1">
        <v>2019</v>
      </c>
      <c r="AK233" s="1" t="s">
        <v>87</v>
      </c>
      <c r="AL233" s="1">
        <v>110</v>
      </c>
    </row>
    <row r="234" spans="1:39" x14ac:dyDescent="0.2">
      <c r="A234" s="2" t="str">
        <f>HYPERLINK("https://www.compass.com/listing/25-park-row-unit-44a-manhattan-ny-10038/549240240395788913/","25 Park Row, Unit 44A")</f>
        <v>25 Park Row, Unit 44A</v>
      </c>
      <c r="B234" s="2" t="str">
        <f t="shared" si="36"/>
        <v>25 Park Row</v>
      </c>
      <c r="C234" s="1" t="s">
        <v>155</v>
      </c>
      <c r="D234" s="1" t="s">
        <v>41</v>
      </c>
      <c r="E234" s="3">
        <v>12950000</v>
      </c>
      <c r="F234" s="1">
        <v>3617.31843575419</v>
      </c>
      <c r="G234" s="1">
        <v>7.5</v>
      </c>
      <c r="H234" s="1">
        <v>4</v>
      </c>
      <c r="I234" s="1">
        <v>5</v>
      </c>
      <c r="J234" s="1">
        <v>4.5</v>
      </c>
      <c r="K234" s="1">
        <v>4</v>
      </c>
      <c r="L234" s="1">
        <v>1</v>
      </c>
      <c r="M234" s="4">
        <v>3580</v>
      </c>
      <c r="N234" s="1">
        <v>9153</v>
      </c>
      <c r="O234" s="1">
        <v>15259</v>
      </c>
      <c r="P234" s="1">
        <v>6106</v>
      </c>
      <c r="Q234" s="1" t="s">
        <v>42</v>
      </c>
      <c r="S234" s="1" t="s">
        <v>42</v>
      </c>
      <c r="T234" s="1" t="s">
        <v>48</v>
      </c>
      <c r="U234" s="1">
        <v>418</v>
      </c>
      <c r="V234" s="5">
        <v>44415</v>
      </c>
      <c r="W234" s="5">
        <v>44009</v>
      </c>
      <c r="X234" s="1">
        <v>12950000</v>
      </c>
      <c r="AB234" s="1" t="s">
        <v>44</v>
      </c>
      <c r="AF234" s="1">
        <v>10038</v>
      </c>
      <c r="AI234" s="1" t="s">
        <v>185</v>
      </c>
      <c r="AJ234" s="1">
        <v>2019</v>
      </c>
      <c r="AK234" s="1" t="s">
        <v>87</v>
      </c>
      <c r="AL234" s="1">
        <v>110</v>
      </c>
    </row>
    <row r="235" spans="1:39" x14ac:dyDescent="0.2">
      <c r="A235" s="2" t="str">
        <f>HYPERLINK("https://www.compass.com/listing/25-park-row-unit-5a-manhattan-ny-10038/618279721421140961/","25 Park Row, Unit 5A")</f>
        <v>25 Park Row, Unit 5A</v>
      </c>
      <c r="B235" s="2" t="str">
        <f t="shared" si="36"/>
        <v>25 Park Row</v>
      </c>
      <c r="C235" s="1" t="s">
        <v>155</v>
      </c>
      <c r="D235" s="1" t="s">
        <v>41</v>
      </c>
      <c r="E235" s="3">
        <v>6995000</v>
      </c>
      <c r="F235" s="1">
        <v>2274.7967479674799</v>
      </c>
      <c r="G235" s="1">
        <v>7</v>
      </c>
      <c r="H235" s="1">
        <v>4</v>
      </c>
      <c r="I235" s="1">
        <v>4</v>
      </c>
      <c r="J235" s="1">
        <v>4</v>
      </c>
      <c r="K235" s="1">
        <v>4</v>
      </c>
      <c r="M235" s="4">
        <v>3075</v>
      </c>
      <c r="N235" s="1">
        <v>5806.57</v>
      </c>
      <c r="O235" s="1">
        <v>9680.5299999999897</v>
      </c>
      <c r="P235" s="1">
        <v>3874</v>
      </c>
      <c r="Q235" s="1" t="s">
        <v>42</v>
      </c>
      <c r="S235" s="1" t="s">
        <v>42</v>
      </c>
      <c r="T235" s="1" t="s">
        <v>48</v>
      </c>
      <c r="U235" s="1">
        <v>323</v>
      </c>
      <c r="V235" s="5">
        <v>44415</v>
      </c>
      <c r="W235" s="5">
        <v>44104</v>
      </c>
      <c r="X235" s="1">
        <v>6995000</v>
      </c>
      <c r="AB235" s="1" t="s">
        <v>44</v>
      </c>
      <c r="AF235" s="1">
        <v>10038</v>
      </c>
      <c r="AI235" s="1" t="s">
        <v>186</v>
      </c>
      <c r="AJ235" s="1">
        <v>2019</v>
      </c>
      <c r="AK235" s="1" t="s">
        <v>87</v>
      </c>
      <c r="AL235" s="1">
        <v>110</v>
      </c>
    </row>
    <row r="238" spans="1:39" x14ac:dyDescent="0.2">
      <c r="A238" s="1" t="s">
        <v>187</v>
      </c>
    </row>
    <row r="239" spans="1:39" x14ac:dyDescent="0.2">
      <c r="A239" s="1" t="s">
        <v>1</v>
      </c>
      <c r="B239" s="1" t="s">
        <v>2</v>
      </c>
      <c r="C239" s="1" t="s">
        <v>3</v>
      </c>
      <c r="D239" s="1" t="s">
        <v>4</v>
      </c>
      <c r="E239" s="1" t="s">
        <v>5</v>
      </c>
      <c r="F239" s="1" t="s">
        <v>6</v>
      </c>
      <c r="G239" s="1" t="s">
        <v>7</v>
      </c>
      <c r="H239" s="1" t="s">
        <v>8</v>
      </c>
      <c r="I239" s="1" t="s">
        <v>9</v>
      </c>
      <c r="J239" s="1" t="s">
        <v>10</v>
      </c>
      <c r="K239" s="1" t="s">
        <v>11</v>
      </c>
      <c r="L239" s="1" t="s">
        <v>12</v>
      </c>
      <c r="M239" s="1" t="s">
        <v>13</v>
      </c>
      <c r="N239" s="1" t="s">
        <v>14</v>
      </c>
      <c r="O239" s="1" t="s">
        <v>15</v>
      </c>
      <c r="P239" s="1" t="s">
        <v>16</v>
      </c>
      <c r="Q239" s="1" t="s">
        <v>17</v>
      </c>
      <c r="R239" s="1" t="s">
        <v>18</v>
      </c>
      <c r="S239" s="1" t="s">
        <v>19</v>
      </c>
      <c r="T239" s="1" t="s">
        <v>20</v>
      </c>
      <c r="U239" s="1" t="s">
        <v>21</v>
      </c>
      <c r="V239" s="1" t="s">
        <v>22</v>
      </c>
      <c r="W239" s="1" t="s">
        <v>23</v>
      </c>
      <c r="X239" s="1" t="s">
        <v>24</v>
      </c>
      <c r="Y239" s="1" t="s">
        <v>25</v>
      </c>
      <c r="Z239" s="1" t="s">
        <v>26</v>
      </c>
      <c r="AA239" s="1" t="s">
        <v>27</v>
      </c>
      <c r="AB239" s="1" t="s">
        <v>28</v>
      </c>
      <c r="AC239" s="1" t="s">
        <v>29</v>
      </c>
      <c r="AD239" s="1" t="s">
        <v>30</v>
      </c>
      <c r="AE239" s="1" t="s">
        <v>31</v>
      </c>
      <c r="AF239" s="1" t="s">
        <v>32</v>
      </c>
      <c r="AG239" s="1" t="s">
        <v>33</v>
      </c>
      <c r="AH239" s="1" t="s">
        <v>34</v>
      </c>
      <c r="AI239" s="1" t="s">
        <v>35</v>
      </c>
      <c r="AJ239" s="1" t="s">
        <v>36</v>
      </c>
      <c r="AK239" s="1" t="s">
        <v>37</v>
      </c>
      <c r="AL239" s="1" t="s">
        <v>38</v>
      </c>
      <c r="AM239" s="1" t="s">
        <v>39</v>
      </c>
    </row>
    <row r="240" spans="1:39" x14ac:dyDescent="0.2">
      <c r="A240" s="2" t="str">
        <f>HYPERLINK("https://www.compass.com/listing/500-west-45th-street-unit-323-manhattan-ny-10036/851323497733212825/","500 W 45th St, Unit 323")</f>
        <v>500 W 45th St, Unit 323</v>
      </c>
      <c r="B240" s="2" t="str">
        <f>HYPERLINK("https://www.compass.com/building/bloom-on-forty-fifth-manhattan-ny/581860287819939901/","Bloom on Forty Fifth")</f>
        <v>Bloom on Forty Fifth</v>
      </c>
      <c r="C240" s="1" t="s">
        <v>57</v>
      </c>
      <c r="D240" s="1" t="s">
        <v>41</v>
      </c>
      <c r="E240" s="3">
        <v>1235000</v>
      </c>
      <c r="F240" s="1">
        <v>1846.0388639760799</v>
      </c>
      <c r="G240" s="1">
        <v>3</v>
      </c>
      <c r="H240" s="1">
        <v>1</v>
      </c>
      <c r="I240" s="1">
        <v>1</v>
      </c>
      <c r="J240" s="1">
        <v>1</v>
      </c>
      <c r="K240" s="1">
        <v>1</v>
      </c>
      <c r="M240" s="1">
        <v>669</v>
      </c>
      <c r="N240" s="1">
        <v>947</v>
      </c>
      <c r="O240" s="1">
        <v>1954</v>
      </c>
      <c r="P240" s="1">
        <v>1007</v>
      </c>
      <c r="S240" s="1" t="s">
        <v>42</v>
      </c>
      <c r="T240" s="1" t="s">
        <v>188</v>
      </c>
      <c r="V240" s="5">
        <v>44426</v>
      </c>
      <c r="W240" s="5">
        <v>44426</v>
      </c>
      <c r="X240" s="1">
        <v>1235000</v>
      </c>
      <c r="Z240" s="5">
        <v>44426</v>
      </c>
      <c r="AB240" s="1" t="s">
        <v>44</v>
      </c>
      <c r="AF240" s="1">
        <v>10036</v>
      </c>
      <c r="AI240" s="1" t="s">
        <v>78</v>
      </c>
      <c r="AJ240" s="1">
        <v>2020</v>
      </c>
      <c r="AK240" s="1" t="s">
        <v>55</v>
      </c>
      <c r="AL240" s="1">
        <v>92</v>
      </c>
    </row>
    <row r="241" spans="1:38" x14ac:dyDescent="0.2">
      <c r="A241" s="2" t="str">
        <f>HYPERLINK("https://www.compass.com/listing/302-east-96th-street-unit-803-manhattan-ny-10128/847880675083841817/","302 E 96th St, Unit 803")</f>
        <v>302 E 96th St, Unit 803</v>
      </c>
      <c r="B241" s="2" t="str">
        <f t="shared" ref="B241:B242" si="37">HYPERLINK("https://www.compass.com/building/302-e-96th-st-manhattan-ny/282050840162756469/","302 E 96th St")</f>
        <v>302 E 96th St</v>
      </c>
      <c r="C241" s="1" t="s">
        <v>53</v>
      </c>
      <c r="D241" s="1" t="s">
        <v>41</v>
      </c>
      <c r="E241" s="3">
        <v>2140000</v>
      </c>
      <c r="F241" s="1">
        <v>1510.2328863796699</v>
      </c>
      <c r="G241" s="1">
        <v>5</v>
      </c>
      <c r="H241" s="1">
        <v>2</v>
      </c>
      <c r="I241" s="1">
        <v>3</v>
      </c>
      <c r="J241" s="1">
        <v>3</v>
      </c>
      <c r="K241" s="1">
        <v>3</v>
      </c>
      <c r="M241" s="4">
        <v>1417</v>
      </c>
      <c r="N241" s="1">
        <v>1512</v>
      </c>
      <c r="O241" s="1">
        <v>2811</v>
      </c>
      <c r="P241" s="1">
        <v>1299</v>
      </c>
      <c r="S241" s="1" t="s">
        <v>42</v>
      </c>
      <c r="T241" s="1" t="s">
        <v>188</v>
      </c>
      <c r="V241" s="5">
        <v>44422</v>
      </c>
      <c r="W241" s="5">
        <v>44422</v>
      </c>
      <c r="X241" s="1">
        <v>2140000</v>
      </c>
      <c r="Z241" s="5">
        <v>44422</v>
      </c>
      <c r="AB241" s="1" t="s">
        <v>44</v>
      </c>
      <c r="AF241" s="1">
        <v>10128</v>
      </c>
      <c r="AI241" s="1" t="s">
        <v>54</v>
      </c>
      <c r="AJ241" s="1">
        <v>2018</v>
      </c>
      <c r="AK241" s="1" t="s">
        <v>55</v>
      </c>
      <c r="AL241" s="1">
        <v>48</v>
      </c>
    </row>
    <row r="242" spans="1:38" x14ac:dyDescent="0.2">
      <c r="A242" s="2" t="str">
        <f>HYPERLINK("https://www.compass.com/listing/302-east-96th-street-unit-1401-manhattan-ny-10128/847881054525754137/","302 E 96th St, Unit 1401")</f>
        <v>302 E 96th St, Unit 1401</v>
      </c>
      <c r="B242" s="2" t="str">
        <f t="shared" si="37"/>
        <v>302 E 96th St</v>
      </c>
      <c r="C242" s="1" t="s">
        <v>53</v>
      </c>
      <c r="D242" s="1" t="s">
        <v>41</v>
      </c>
      <c r="E242" s="3">
        <v>1130000</v>
      </c>
      <c r="F242" s="1">
        <v>2164.7509578544</v>
      </c>
      <c r="G242" s="1">
        <v>4</v>
      </c>
      <c r="H242" s="1">
        <v>1</v>
      </c>
      <c r="I242" s="1">
        <v>1</v>
      </c>
      <c r="J242" s="1">
        <v>1</v>
      </c>
      <c r="K242" s="1">
        <v>1</v>
      </c>
      <c r="M242" s="1">
        <v>522</v>
      </c>
      <c r="N242" s="1">
        <v>578</v>
      </c>
      <c r="O242" s="1">
        <v>1075</v>
      </c>
      <c r="P242" s="1">
        <v>497</v>
      </c>
      <c r="S242" s="1" t="s">
        <v>42</v>
      </c>
      <c r="T242" s="1" t="s">
        <v>188</v>
      </c>
      <c r="V242" s="5">
        <v>44422</v>
      </c>
      <c r="W242" s="5">
        <v>44422</v>
      </c>
      <c r="X242" s="1">
        <v>1130000</v>
      </c>
      <c r="Z242" s="5">
        <v>44422</v>
      </c>
      <c r="AB242" s="1" t="s">
        <v>44</v>
      </c>
      <c r="AF242" s="1">
        <v>10128</v>
      </c>
      <c r="AI242" s="1" t="s">
        <v>54</v>
      </c>
      <c r="AJ242" s="1">
        <v>2018</v>
      </c>
      <c r="AK242" s="1" t="s">
        <v>55</v>
      </c>
      <c r="AL242" s="1">
        <v>48</v>
      </c>
    </row>
    <row r="243" spans="1:38" x14ac:dyDescent="0.2">
      <c r="A243" s="2" t="str">
        <f>HYPERLINK("https://www.compass.com/listing/500-west-45th-street-unit-325-manhattan-ny-10036/847009177925978785/","500 W 45th St, Unit 325")</f>
        <v>500 W 45th St, Unit 325</v>
      </c>
      <c r="B243" s="2" t="str">
        <f t="shared" ref="B243:B244" si="38">HYPERLINK("https://www.compass.com/building/bloom-on-forty-fifth-manhattan-ny/581860287819939901/","Bloom on Forty Fifth")</f>
        <v>Bloom on Forty Fifth</v>
      </c>
      <c r="C243" s="1" t="s">
        <v>57</v>
      </c>
      <c r="D243" s="1" t="s">
        <v>41</v>
      </c>
      <c r="E243" s="3">
        <v>1235000</v>
      </c>
      <c r="F243" s="1">
        <v>1846.0388639760799</v>
      </c>
      <c r="G243" s="1">
        <v>3</v>
      </c>
      <c r="H243" s="1">
        <v>1</v>
      </c>
      <c r="I243" s="1">
        <v>1</v>
      </c>
      <c r="J243" s="1">
        <v>1</v>
      </c>
      <c r="K243" s="1">
        <v>1</v>
      </c>
      <c r="M243" s="1">
        <v>669</v>
      </c>
      <c r="N243" s="1">
        <v>947</v>
      </c>
      <c r="O243" s="1">
        <v>1954</v>
      </c>
      <c r="P243" s="1">
        <v>1007</v>
      </c>
      <c r="S243" s="1" t="s">
        <v>42</v>
      </c>
      <c r="T243" s="1" t="s">
        <v>188</v>
      </c>
      <c r="V243" s="5">
        <v>44421</v>
      </c>
      <c r="W243" s="5">
        <v>44420</v>
      </c>
      <c r="X243" s="1">
        <v>1235000</v>
      </c>
      <c r="Z243" s="5">
        <v>44420</v>
      </c>
      <c r="AB243" s="1" t="s">
        <v>44</v>
      </c>
      <c r="AF243" s="1">
        <v>10036</v>
      </c>
      <c r="AI243" s="1" t="s">
        <v>78</v>
      </c>
      <c r="AJ243" s="1">
        <v>2020</v>
      </c>
      <c r="AK243" s="1" t="s">
        <v>87</v>
      </c>
      <c r="AL243" s="1">
        <v>92</v>
      </c>
    </row>
    <row r="244" spans="1:38" x14ac:dyDescent="0.2">
      <c r="A244" s="2" t="str">
        <f>HYPERLINK("https://www.compass.com/listing/500-west-45th-street-unit-710-manhattan-ny-10036/847018142580266137/","500 W 45th St, Unit 710")</f>
        <v>500 W 45th St, Unit 710</v>
      </c>
      <c r="B244" s="2" t="str">
        <f t="shared" si="38"/>
        <v>Bloom on Forty Fifth</v>
      </c>
      <c r="C244" s="1" t="s">
        <v>57</v>
      </c>
      <c r="D244" s="1" t="s">
        <v>41</v>
      </c>
      <c r="E244" s="3">
        <v>1982500</v>
      </c>
      <c r="F244" s="1">
        <v>2012.6903553299401</v>
      </c>
      <c r="G244" s="1">
        <v>5</v>
      </c>
      <c r="H244" s="1">
        <v>2</v>
      </c>
      <c r="I244" s="1">
        <v>2</v>
      </c>
      <c r="J244" s="1">
        <v>2</v>
      </c>
      <c r="K244" s="1">
        <v>2</v>
      </c>
      <c r="M244" s="1">
        <v>985</v>
      </c>
      <c r="N244" s="1">
        <v>1395</v>
      </c>
      <c r="O244" s="1">
        <v>2877</v>
      </c>
      <c r="P244" s="1">
        <v>1482</v>
      </c>
      <c r="S244" s="1" t="s">
        <v>42</v>
      </c>
      <c r="T244" s="1" t="s">
        <v>188</v>
      </c>
      <c r="V244" s="5">
        <v>44421</v>
      </c>
      <c r="W244" s="5">
        <v>44420</v>
      </c>
      <c r="X244" s="1">
        <v>1982500</v>
      </c>
      <c r="Z244" s="5">
        <v>44420</v>
      </c>
      <c r="AB244" s="1" t="s">
        <v>44</v>
      </c>
      <c r="AF244" s="1">
        <v>10036</v>
      </c>
      <c r="AI244" s="1" t="s">
        <v>78</v>
      </c>
      <c r="AJ244" s="1">
        <v>2020</v>
      </c>
      <c r="AK244" s="1" t="s">
        <v>55</v>
      </c>
      <c r="AL244" s="1">
        <v>92</v>
      </c>
    </row>
    <row r="245" spans="1:38" x14ac:dyDescent="0.2">
      <c r="A245" s="2" t="str">
        <f>HYPERLINK("https://www.compass.com/listing/302-east-96th-street-unit-1202-manhattan-ny-10128/840476498341905009/","302 E 96th St, Unit 1202")</f>
        <v>302 E 96th St, Unit 1202</v>
      </c>
      <c r="B245" s="2" t="str">
        <f>HYPERLINK("https://www.compass.com/building/302-e-96th-st-manhattan-ny/282050840162756469/","302 E 96th St")</f>
        <v>302 E 96th St</v>
      </c>
      <c r="C245" s="1" t="s">
        <v>53</v>
      </c>
      <c r="D245" s="1" t="s">
        <v>41</v>
      </c>
      <c r="E245" s="3">
        <v>1710000</v>
      </c>
      <c r="F245" s="1">
        <v>1746.68028600612</v>
      </c>
      <c r="G245" s="1">
        <v>4</v>
      </c>
      <c r="H245" s="1">
        <v>1</v>
      </c>
      <c r="I245" s="1">
        <v>2</v>
      </c>
      <c r="J245" s="1">
        <v>2</v>
      </c>
      <c r="K245" s="1">
        <v>2</v>
      </c>
      <c r="M245" s="1">
        <v>979</v>
      </c>
      <c r="N245" s="1">
        <v>929</v>
      </c>
      <c r="O245" s="1">
        <v>2010</v>
      </c>
      <c r="P245" s="1">
        <v>1081</v>
      </c>
      <c r="S245" s="1" t="s">
        <v>42</v>
      </c>
      <c r="T245" s="1" t="s">
        <v>188</v>
      </c>
      <c r="V245" s="5">
        <v>44411</v>
      </c>
      <c r="W245" s="5">
        <v>44411</v>
      </c>
      <c r="X245" s="1">
        <v>1710000</v>
      </c>
      <c r="Z245" s="5">
        <v>44411</v>
      </c>
      <c r="AB245" s="1" t="s">
        <v>44</v>
      </c>
      <c r="AF245" s="1">
        <v>10128</v>
      </c>
      <c r="AI245" s="1" t="s">
        <v>54</v>
      </c>
      <c r="AJ245" s="1">
        <v>2018</v>
      </c>
      <c r="AK245" s="1" t="s">
        <v>55</v>
      </c>
      <c r="AL245" s="1">
        <v>48</v>
      </c>
    </row>
    <row r="246" spans="1:38" x14ac:dyDescent="0.2">
      <c r="A246" s="2" t="str">
        <f>HYPERLINK("https://www.compass.com/listing/30-park-place-unit-ph78a-manhattan-ny-10007/720108489355364713/","30 Park Pl, Unit PH78A")</f>
        <v>30 Park Pl, Unit PH78A</v>
      </c>
      <c r="B246" s="2" t="str">
        <f>HYPERLINK("https://www.compass.com/building/30-park-pl-manhattan-ny-10007/281896912905317605/","30 Park Pl")</f>
        <v>30 Park Pl</v>
      </c>
      <c r="C246" s="1" t="s">
        <v>40</v>
      </c>
      <c r="D246" s="1" t="s">
        <v>41</v>
      </c>
      <c r="E246" s="3">
        <v>39500000</v>
      </c>
      <c r="F246" s="1">
        <v>6446.8744899624598</v>
      </c>
      <c r="G246" s="1">
        <v>12</v>
      </c>
      <c r="H246" s="1">
        <v>5</v>
      </c>
      <c r="I246" s="1">
        <v>7</v>
      </c>
      <c r="J246" s="1">
        <v>6</v>
      </c>
      <c r="K246" s="1">
        <v>5</v>
      </c>
      <c r="L246" s="1">
        <v>2</v>
      </c>
      <c r="M246" s="4">
        <v>6127</v>
      </c>
      <c r="N246" s="1">
        <v>6743.34</v>
      </c>
      <c r="O246" s="1">
        <v>21932.13</v>
      </c>
      <c r="P246" s="1">
        <v>15188.75</v>
      </c>
      <c r="S246" s="1" t="s">
        <v>42</v>
      </c>
      <c r="T246" s="1" t="s">
        <v>188</v>
      </c>
      <c r="U246" s="1">
        <v>146</v>
      </c>
      <c r="V246" s="5">
        <v>44393</v>
      </c>
      <c r="W246" s="5">
        <v>44247</v>
      </c>
      <c r="X246" s="1">
        <v>39500000</v>
      </c>
      <c r="Z246" s="5">
        <v>44393</v>
      </c>
      <c r="AB246" s="1" t="s">
        <v>44</v>
      </c>
      <c r="AF246" s="1">
        <v>10007</v>
      </c>
      <c r="AI246" s="1" t="s">
        <v>98</v>
      </c>
      <c r="AJ246" s="1">
        <v>2016</v>
      </c>
      <c r="AK246" s="1" t="s">
        <v>50</v>
      </c>
      <c r="AL246" s="1">
        <v>157</v>
      </c>
    </row>
    <row r="247" spans="1:38" x14ac:dyDescent="0.2">
      <c r="A247" s="2" t="str">
        <f>HYPERLINK("https://www.compass.com/listing/421-west-22nd-street-unit-5r-manhattan-ny-10011/814794084780423537/","421 W 22nd St, Unit 5R")</f>
        <v>421 W 22nd St, Unit 5R</v>
      </c>
      <c r="B247" s="2" t="str">
        <f>HYPERLINK("https://www.compass.com/building/421-w-22nd-st-manhattan-ny-10011/281910201349594997/","421 W 22nd St")</f>
        <v>421 W 22nd St</v>
      </c>
      <c r="C247" s="1" t="s">
        <v>62</v>
      </c>
      <c r="D247" s="1" t="s">
        <v>41</v>
      </c>
      <c r="E247" s="3">
        <v>540000</v>
      </c>
      <c r="F247" s="1">
        <v>1227.27272727272</v>
      </c>
      <c r="G247" s="1">
        <v>2</v>
      </c>
      <c r="H247" s="1" t="s">
        <v>77</v>
      </c>
      <c r="J247" s="1">
        <v>1</v>
      </c>
      <c r="M247" s="1">
        <v>440</v>
      </c>
      <c r="N247" s="1">
        <v>299</v>
      </c>
      <c r="O247" s="1">
        <v>765</v>
      </c>
      <c r="P247" s="1">
        <v>466</v>
      </c>
      <c r="S247" s="1" t="s">
        <v>42</v>
      </c>
      <c r="T247" s="1" t="s">
        <v>188</v>
      </c>
      <c r="V247" s="5">
        <v>44376</v>
      </c>
      <c r="Z247" s="5">
        <v>44376</v>
      </c>
      <c r="AB247" s="1" t="s">
        <v>44</v>
      </c>
      <c r="AF247" s="1">
        <v>10011</v>
      </c>
      <c r="AI247" s="1" t="s">
        <v>166</v>
      </c>
      <c r="AJ247" s="1">
        <v>1900</v>
      </c>
      <c r="AL247" s="1">
        <v>8</v>
      </c>
    </row>
    <row r="248" spans="1:38" x14ac:dyDescent="0.2">
      <c r="A248" s="2" t="str">
        <f>HYPERLINK("https://www.compass.com/listing/275-west-10th-street-unit-pha-manhattan-ny-10014/296929388914567761/","275 W 10th St, Unit PHA")</f>
        <v>275 W 10th St, Unit PHA</v>
      </c>
      <c r="B248" s="2" t="str">
        <f>HYPERLINK("https://www.compass.com/building/the-shephard-manhattan-ny/281931968864632917/","The Shephard")</f>
        <v>The Shephard</v>
      </c>
      <c r="C248" s="1" t="s">
        <v>68</v>
      </c>
      <c r="D248" s="1" t="s">
        <v>41</v>
      </c>
      <c r="E248" s="3">
        <v>18850000</v>
      </c>
      <c r="F248" s="1">
        <v>4901.1960478419096</v>
      </c>
      <c r="G248" s="1">
        <v>7</v>
      </c>
      <c r="H248" s="1">
        <v>3</v>
      </c>
      <c r="I248" s="1">
        <v>4</v>
      </c>
      <c r="J248" s="1">
        <v>3.5</v>
      </c>
      <c r="K248" s="1">
        <v>3</v>
      </c>
      <c r="L248" s="1">
        <v>1</v>
      </c>
      <c r="M248" s="4">
        <v>3846</v>
      </c>
      <c r="N248" s="1">
        <v>4414</v>
      </c>
      <c r="O248" s="1">
        <v>10195</v>
      </c>
      <c r="P248" s="1">
        <v>5781</v>
      </c>
      <c r="S248" s="1" t="s">
        <v>42</v>
      </c>
      <c r="T248" s="1" t="s">
        <v>188</v>
      </c>
      <c r="V248" s="5">
        <v>43663</v>
      </c>
      <c r="W248" s="5">
        <v>43662</v>
      </c>
      <c r="X248" s="1">
        <v>18850000</v>
      </c>
      <c r="Z248" s="5">
        <v>43662</v>
      </c>
      <c r="AB248" s="1" t="s">
        <v>44</v>
      </c>
      <c r="AF248" s="1">
        <v>10014</v>
      </c>
      <c r="AI248" s="1" t="s">
        <v>189</v>
      </c>
      <c r="AJ248" s="1">
        <v>2015</v>
      </c>
      <c r="AK248" s="1" t="s">
        <v>55</v>
      </c>
      <c r="AL248" s="1">
        <v>38</v>
      </c>
    </row>
    <row r="249" spans="1:38" x14ac:dyDescent="0.2">
      <c r="A249" s="2" t="str">
        <f>HYPERLINK("https://www.compass.com/listing/465-washington-street-unit-5-manhattan-ny-10013/795513165391784241/","465 Washington St, Unit 5")</f>
        <v>465 Washington St, Unit 5</v>
      </c>
      <c r="B249" s="2" t="str">
        <f>HYPERLINK("https://www.compass.com/building/465-washington-street-manhattan-ny/281920073784919813/","465 Washington Street")</f>
        <v>465 Washington Street</v>
      </c>
      <c r="C249" s="1" t="s">
        <v>40</v>
      </c>
      <c r="D249" s="1" t="s">
        <v>41</v>
      </c>
      <c r="E249" s="3">
        <v>6250000</v>
      </c>
      <c r="F249" s="1">
        <v>2252.2522522522499</v>
      </c>
      <c r="G249" s="1">
        <v>6</v>
      </c>
      <c r="H249" s="1">
        <v>4</v>
      </c>
      <c r="I249" s="1">
        <v>4</v>
      </c>
      <c r="J249" s="1">
        <v>3.5</v>
      </c>
      <c r="K249" s="1">
        <v>3</v>
      </c>
      <c r="L249" s="1">
        <v>1</v>
      </c>
      <c r="M249" s="4">
        <v>2775</v>
      </c>
      <c r="N249" s="1">
        <v>3111.17</v>
      </c>
      <c r="O249" s="1">
        <v>6759.16</v>
      </c>
      <c r="P249" s="1">
        <v>3648</v>
      </c>
      <c r="S249" s="1" t="s">
        <v>42</v>
      </c>
      <c r="T249" s="1" t="s">
        <v>188</v>
      </c>
      <c r="V249" s="5">
        <v>44349</v>
      </c>
      <c r="W249" s="5">
        <v>44349</v>
      </c>
      <c r="X249" s="1">
        <v>6250000</v>
      </c>
      <c r="Z249" s="5">
        <v>44349</v>
      </c>
      <c r="AB249" s="1" t="s">
        <v>44</v>
      </c>
      <c r="AF249" s="1">
        <v>10013</v>
      </c>
      <c r="AI249" s="1" t="s">
        <v>60</v>
      </c>
      <c r="AJ249" s="1">
        <v>2020</v>
      </c>
      <c r="AK249" s="1" t="s">
        <v>61</v>
      </c>
      <c r="AL249" s="1">
        <v>9</v>
      </c>
    </row>
    <row r="250" spans="1:38" x14ac:dyDescent="0.2">
      <c r="A250" s="2" t="str">
        <f>HYPERLINK("https://www.compass.com/listing/302-east-96th-street-unit-901-manhattan-ny-10128/820340882555573425/","302 E 96th St, Unit 901")</f>
        <v>302 E 96th St, Unit 901</v>
      </c>
      <c r="B250" s="2" t="str">
        <f>HYPERLINK("https://www.compass.com/building/302-e-96th-st-manhattan-ny/282050840162756469/","302 E 96th St")</f>
        <v>302 E 96th St</v>
      </c>
      <c r="C250" s="1" t="s">
        <v>53</v>
      </c>
      <c r="D250" s="1" t="s">
        <v>41</v>
      </c>
      <c r="E250" s="3">
        <v>895000</v>
      </c>
      <c r="F250" s="1">
        <v>1714.5593869731799</v>
      </c>
      <c r="G250" s="1">
        <v>3</v>
      </c>
      <c r="H250" s="1">
        <v>1</v>
      </c>
      <c r="I250" s="1">
        <v>1</v>
      </c>
      <c r="J250" s="1">
        <v>1</v>
      </c>
      <c r="K250" s="1">
        <v>1</v>
      </c>
      <c r="M250" s="1">
        <v>522</v>
      </c>
      <c r="N250" s="1">
        <v>548.73</v>
      </c>
      <c r="O250" s="1">
        <v>1020.23</v>
      </c>
      <c r="P250" s="1">
        <v>471.5</v>
      </c>
      <c r="S250" s="1" t="s">
        <v>42</v>
      </c>
      <c r="T250" s="1" t="s">
        <v>188</v>
      </c>
      <c r="V250" s="5">
        <v>44384</v>
      </c>
      <c r="W250" s="5">
        <v>44384</v>
      </c>
      <c r="X250" s="1">
        <v>895000</v>
      </c>
      <c r="Z250" s="5">
        <v>44384</v>
      </c>
      <c r="AB250" s="1" t="s">
        <v>44</v>
      </c>
      <c r="AF250" s="1">
        <v>10128</v>
      </c>
      <c r="AI250" s="1" t="s">
        <v>74</v>
      </c>
      <c r="AJ250" s="1">
        <v>2018</v>
      </c>
      <c r="AK250" s="1" t="s">
        <v>55</v>
      </c>
      <c r="AL250" s="1">
        <v>48</v>
      </c>
    </row>
    <row r="251" spans="1:38" x14ac:dyDescent="0.2">
      <c r="A251" s="2" t="str">
        <f>HYPERLINK("https://www.compass.com/listing/308-west-30th-street-unit-4f-manhattan-ny-10001/796480601396214889/","308 W 30th St, Unit 4F")</f>
        <v>308 W 30th St, Unit 4F</v>
      </c>
      <c r="B251" s="2" t="str">
        <f>HYPERLINK("https://www.compass.com/building/the-irvin-house-manhattan-ny/281883290133070869/","The Irvin House")</f>
        <v>The Irvin House</v>
      </c>
      <c r="C251" s="1" t="s">
        <v>62</v>
      </c>
      <c r="D251" s="1" t="s">
        <v>41</v>
      </c>
      <c r="E251" s="3">
        <v>850000</v>
      </c>
      <c r="G251" s="1">
        <v>3</v>
      </c>
      <c r="H251" s="1">
        <v>2</v>
      </c>
      <c r="I251" s="1">
        <v>1</v>
      </c>
      <c r="J251" s="1">
        <v>1</v>
      </c>
      <c r="K251" s="1">
        <v>1</v>
      </c>
      <c r="N251" s="1">
        <v>435.11</v>
      </c>
      <c r="O251" s="1">
        <v>1058.19</v>
      </c>
      <c r="P251" s="1">
        <v>623.08333333333303</v>
      </c>
      <c r="S251" s="1" t="s">
        <v>42</v>
      </c>
      <c r="T251" s="1" t="s">
        <v>188</v>
      </c>
      <c r="U251" s="1">
        <v>31</v>
      </c>
      <c r="V251" s="5">
        <v>44383</v>
      </c>
      <c r="W251" s="5">
        <v>44352</v>
      </c>
      <c r="X251" s="1">
        <v>850000</v>
      </c>
      <c r="Z251" s="5">
        <v>44383</v>
      </c>
      <c r="AB251" s="1" t="s">
        <v>44</v>
      </c>
      <c r="AF251" s="1">
        <v>10001</v>
      </c>
      <c r="AI251" s="1" t="s">
        <v>73</v>
      </c>
      <c r="AJ251" s="1">
        <v>1925</v>
      </c>
      <c r="AL251" s="1">
        <v>61</v>
      </c>
    </row>
    <row r="252" spans="1:38" x14ac:dyDescent="0.2">
      <c r="A252" s="2" t="str">
        <f>HYPERLINK("https://www.compass.com/listing/500-west-45th-street-unit-802-manhattan-ny-10036/829814150720493225/","500 W 45th St, Unit 802")</f>
        <v>500 W 45th St, Unit 802</v>
      </c>
      <c r="B252" s="2" t="str">
        <f>HYPERLINK("https://www.compass.com/building/bloom-on-forty-fifth-manhattan-ny/581860287819939901/","Bloom on Forty Fifth")</f>
        <v>Bloom on Forty Fifth</v>
      </c>
      <c r="C252" s="1" t="s">
        <v>57</v>
      </c>
      <c r="D252" s="1" t="s">
        <v>41</v>
      </c>
      <c r="E252" s="3">
        <v>3575000</v>
      </c>
      <c r="F252" s="1">
        <v>2528.28854314002</v>
      </c>
      <c r="G252" s="1">
        <v>5</v>
      </c>
      <c r="H252" s="1">
        <v>3</v>
      </c>
      <c r="I252" s="1">
        <v>3</v>
      </c>
      <c r="J252" s="1">
        <v>3</v>
      </c>
      <c r="K252" s="1">
        <v>3</v>
      </c>
      <c r="M252" s="4">
        <v>1414</v>
      </c>
      <c r="N252" s="1">
        <v>2442</v>
      </c>
      <c r="O252" s="1">
        <v>5036</v>
      </c>
      <c r="P252" s="1">
        <v>2594</v>
      </c>
      <c r="S252" s="1" t="s">
        <v>42</v>
      </c>
      <c r="T252" s="1" t="s">
        <v>188</v>
      </c>
      <c r="V252" s="5">
        <v>44397</v>
      </c>
      <c r="W252" s="5">
        <v>44397</v>
      </c>
      <c r="X252" s="1">
        <v>3575000</v>
      </c>
      <c r="Z252" s="5">
        <v>44397</v>
      </c>
      <c r="AB252" s="1" t="s">
        <v>44</v>
      </c>
      <c r="AF252" s="1">
        <v>10036</v>
      </c>
      <c r="AI252" s="1" t="s">
        <v>190</v>
      </c>
      <c r="AJ252" s="1">
        <v>2020</v>
      </c>
      <c r="AK252" s="1" t="s">
        <v>55</v>
      </c>
      <c r="AL252" s="1">
        <v>92</v>
      </c>
    </row>
    <row r="253" spans="1:38" x14ac:dyDescent="0.2">
      <c r="A253" s="2" t="str">
        <f>HYPERLINK("https://www.compass.com/listing/555-west-end-avenue-unit-4w-manhattan-ny-10024/334023892393872017/","555 W End Ave, Unit 4W")</f>
        <v>555 W End Ave, Unit 4W</v>
      </c>
      <c r="B253" s="2" t="str">
        <f>HYPERLINK("https://www.compass.com/building/555-west-end-avenue-manhattan-ny/292874438096018885/","555 West End Avenue")</f>
        <v>555 West End Avenue</v>
      </c>
      <c r="C253" s="1" t="s">
        <v>47</v>
      </c>
      <c r="D253" s="1" t="s">
        <v>41</v>
      </c>
      <c r="E253" s="3">
        <v>8400000</v>
      </c>
      <c r="F253" s="1">
        <v>3092.7835051546299</v>
      </c>
      <c r="G253" s="1">
        <v>6</v>
      </c>
      <c r="H253" s="1">
        <v>4</v>
      </c>
      <c r="I253" s="1">
        <v>5</v>
      </c>
      <c r="J253" s="1">
        <v>4.5</v>
      </c>
      <c r="K253" s="1">
        <v>4</v>
      </c>
      <c r="L253" s="1">
        <v>1</v>
      </c>
      <c r="M253" s="4">
        <v>2716</v>
      </c>
      <c r="N253" s="1">
        <v>3735.9</v>
      </c>
      <c r="O253" s="1">
        <v>9697.9</v>
      </c>
      <c r="P253" s="1">
        <v>5962</v>
      </c>
      <c r="S253" s="1" t="s">
        <v>42</v>
      </c>
      <c r="T253" s="1" t="s">
        <v>188</v>
      </c>
      <c r="U253" s="1">
        <v>1</v>
      </c>
      <c r="V253" s="5">
        <v>44410</v>
      </c>
      <c r="W253" s="5">
        <v>43713</v>
      </c>
      <c r="X253" s="1">
        <v>8400000</v>
      </c>
      <c r="Z253" s="5">
        <v>43714</v>
      </c>
      <c r="AB253" s="1" t="s">
        <v>44</v>
      </c>
      <c r="AF253" s="1">
        <v>10024</v>
      </c>
      <c r="AJ253" s="1">
        <v>2019</v>
      </c>
      <c r="AK253" s="1" t="s">
        <v>55</v>
      </c>
      <c r="AL253" s="1">
        <v>13</v>
      </c>
    </row>
    <row r="254" spans="1:38" x14ac:dyDescent="0.2">
      <c r="A254" s="2" t="str">
        <f>HYPERLINK("https://www.compass.com/listing/302-east-96th-street-unit-1502-manhattan-ny-10128/739807639344213057/","302 E 96th St, Unit 1502")</f>
        <v>302 E 96th St, Unit 1502</v>
      </c>
      <c r="B254" s="2" t="str">
        <f t="shared" ref="B254:B255" si="39">HYPERLINK("https://www.compass.com/building/302-e-96th-st-manhattan-ny/282050840162756469/","302 E 96th St")</f>
        <v>302 E 96th St</v>
      </c>
      <c r="C254" s="1" t="s">
        <v>53</v>
      </c>
      <c r="D254" s="1" t="s">
        <v>41</v>
      </c>
      <c r="E254" s="3">
        <v>1785000</v>
      </c>
      <c r="F254" s="1">
        <v>1823.28907048008</v>
      </c>
      <c r="G254" s="1">
        <v>4</v>
      </c>
      <c r="H254" s="1">
        <v>1</v>
      </c>
      <c r="I254" s="1">
        <v>2</v>
      </c>
      <c r="J254" s="1">
        <v>2</v>
      </c>
      <c r="K254" s="1">
        <v>2</v>
      </c>
      <c r="M254" s="1">
        <v>979</v>
      </c>
      <c r="N254" s="1">
        <v>1108.21</v>
      </c>
      <c r="O254" s="1">
        <v>2060.48</v>
      </c>
      <c r="P254" s="1">
        <v>952.25</v>
      </c>
      <c r="S254" s="1" t="s">
        <v>42</v>
      </c>
      <c r="T254" s="1" t="s">
        <v>188</v>
      </c>
      <c r="V254" s="5">
        <v>44273</v>
      </c>
      <c r="W254" s="5">
        <v>44273</v>
      </c>
      <c r="X254" s="1">
        <v>1785000</v>
      </c>
      <c r="Z254" s="5">
        <v>44273</v>
      </c>
      <c r="AB254" s="1" t="s">
        <v>44</v>
      </c>
      <c r="AF254" s="1">
        <v>10128</v>
      </c>
      <c r="AI254" s="1" t="s">
        <v>74</v>
      </c>
      <c r="AJ254" s="1">
        <v>2018</v>
      </c>
      <c r="AK254" s="1" t="s">
        <v>55</v>
      </c>
      <c r="AL254" s="1">
        <v>48</v>
      </c>
    </row>
    <row r="255" spans="1:38" x14ac:dyDescent="0.2">
      <c r="A255" s="2" t="str">
        <f>HYPERLINK("https://www.compass.com/listing/302-east-96th-street-unit-1501-manhattan-ny-10128/740664448267689529/","302 E 96th St, Unit 1501")</f>
        <v>302 E 96th St, Unit 1501</v>
      </c>
      <c r="B255" s="2" t="str">
        <f t="shared" si="39"/>
        <v>302 E 96th St</v>
      </c>
      <c r="C255" s="1" t="s">
        <v>53</v>
      </c>
      <c r="D255" s="1" t="s">
        <v>41</v>
      </c>
      <c r="E255" s="3">
        <v>1145000</v>
      </c>
      <c r="F255" s="1">
        <v>2193.4865900383102</v>
      </c>
      <c r="G255" s="1">
        <v>2</v>
      </c>
      <c r="H255" s="1">
        <v>1</v>
      </c>
      <c r="I255" s="1">
        <v>1</v>
      </c>
      <c r="J255" s="1">
        <v>1</v>
      </c>
      <c r="K255" s="1">
        <v>1</v>
      </c>
      <c r="M255" s="1">
        <v>522</v>
      </c>
      <c r="N255" s="1">
        <v>583.83000000000004</v>
      </c>
      <c r="O255" s="1">
        <v>1085.48</v>
      </c>
      <c r="P255" s="1">
        <v>501.666666666666</v>
      </c>
      <c r="S255" s="1" t="s">
        <v>42</v>
      </c>
      <c r="T255" s="1" t="s">
        <v>188</v>
      </c>
      <c r="V255" s="5">
        <v>44275</v>
      </c>
      <c r="W255" s="5">
        <v>44274</v>
      </c>
      <c r="X255" s="1">
        <v>1145000</v>
      </c>
      <c r="Z255" s="5">
        <v>44274</v>
      </c>
      <c r="AB255" s="1" t="s">
        <v>44</v>
      </c>
      <c r="AF255" s="1">
        <v>10128</v>
      </c>
      <c r="AI255" s="1" t="s">
        <v>74</v>
      </c>
      <c r="AJ255" s="1">
        <v>2018</v>
      </c>
      <c r="AK255" s="1" t="s">
        <v>55</v>
      </c>
      <c r="AL255" s="1">
        <v>48</v>
      </c>
    </row>
    <row r="256" spans="1:38" x14ac:dyDescent="0.2">
      <c r="A256" s="2" t="str">
        <f>HYPERLINK("https://www.compass.com/listing/500-west-45th-street-unit-303-manhattan-ny-10036/809408744388821329/","500 W 45th St, Unit 303")</f>
        <v>500 W 45th St, Unit 303</v>
      </c>
      <c r="B256" s="2" t="str">
        <f t="shared" ref="B256:B259" si="40">HYPERLINK("https://www.compass.com/building/bloom-on-forty-fifth-manhattan-ny/581860287819939901/","Bloom on Forty Fifth")</f>
        <v>Bloom on Forty Fifth</v>
      </c>
      <c r="C256" s="1" t="s">
        <v>57</v>
      </c>
      <c r="D256" s="1" t="s">
        <v>41</v>
      </c>
      <c r="E256" s="3">
        <v>809600</v>
      </c>
      <c r="F256" s="1">
        <v>1844.19134396355</v>
      </c>
      <c r="G256" s="1">
        <v>1</v>
      </c>
      <c r="H256" s="1" t="s">
        <v>77</v>
      </c>
      <c r="I256" s="1">
        <v>1</v>
      </c>
      <c r="J256" s="1">
        <v>1</v>
      </c>
      <c r="K256" s="1">
        <v>1</v>
      </c>
      <c r="M256" s="1">
        <v>439</v>
      </c>
      <c r="N256" s="1">
        <v>622</v>
      </c>
      <c r="O256" s="1">
        <v>1283</v>
      </c>
      <c r="P256" s="1">
        <v>661</v>
      </c>
      <c r="S256" s="1" t="s">
        <v>42</v>
      </c>
      <c r="T256" s="1" t="s">
        <v>188</v>
      </c>
      <c r="V256" s="5">
        <v>44369</v>
      </c>
      <c r="Z256" s="5">
        <v>44369</v>
      </c>
      <c r="AB256" s="1" t="s">
        <v>44</v>
      </c>
      <c r="AF256" s="1">
        <v>10036</v>
      </c>
      <c r="AI256" s="1" t="s">
        <v>78</v>
      </c>
      <c r="AJ256" s="1">
        <v>2020</v>
      </c>
      <c r="AK256" s="1" t="s">
        <v>55</v>
      </c>
      <c r="AL256" s="1">
        <v>92</v>
      </c>
    </row>
    <row r="257" spans="1:38" x14ac:dyDescent="0.2">
      <c r="A257" s="2" t="str">
        <f>HYPERLINK("https://www.compass.com/listing/500-west-45th-street-unit-328-manhattan-ny-10036/578819653966096753/","500 W 45th St, Unit 328")</f>
        <v>500 W 45th St, Unit 328</v>
      </c>
      <c r="B257" s="2" t="str">
        <f t="shared" si="40"/>
        <v>Bloom on Forty Fifth</v>
      </c>
      <c r="C257" s="1" t="s">
        <v>57</v>
      </c>
      <c r="D257" s="1" t="s">
        <v>41</v>
      </c>
      <c r="E257" s="3">
        <v>892500</v>
      </c>
      <c r="F257" s="1">
        <v>1512.71186440677</v>
      </c>
      <c r="G257" s="1">
        <v>3</v>
      </c>
      <c r="H257" s="1">
        <v>1</v>
      </c>
      <c r="I257" s="1">
        <v>1</v>
      </c>
      <c r="J257" s="1">
        <v>1</v>
      </c>
      <c r="K257" s="1">
        <v>1</v>
      </c>
      <c r="M257" s="1">
        <v>590</v>
      </c>
      <c r="N257" s="1">
        <v>836</v>
      </c>
      <c r="O257" s="1">
        <v>1724</v>
      </c>
      <c r="P257" s="1">
        <v>888</v>
      </c>
      <c r="S257" s="1" t="s">
        <v>42</v>
      </c>
      <c r="T257" s="1" t="s">
        <v>188</v>
      </c>
      <c r="U257" s="1">
        <v>275</v>
      </c>
      <c r="V257" s="5">
        <v>44358</v>
      </c>
      <c r="W257" s="5">
        <v>44068</v>
      </c>
      <c r="X257" s="1">
        <v>975000</v>
      </c>
      <c r="Z257" s="5">
        <v>44358</v>
      </c>
      <c r="AB257" s="1" t="s">
        <v>44</v>
      </c>
      <c r="AF257" s="1">
        <v>10036</v>
      </c>
      <c r="AI257" s="1" t="s">
        <v>78</v>
      </c>
      <c r="AJ257" s="1">
        <v>2020</v>
      </c>
      <c r="AK257" s="1" t="s">
        <v>55</v>
      </c>
      <c r="AL257" s="1">
        <v>92</v>
      </c>
    </row>
    <row r="258" spans="1:38" x14ac:dyDescent="0.2">
      <c r="A258" s="2" t="str">
        <f>HYPERLINK("https://www.compass.com/listing/500-west-45th-street-unit-308-manhattan-ny-10036/664485547387793361/","500 W 45th St, Unit 308")</f>
        <v>500 W 45th St, Unit 308</v>
      </c>
      <c r="B258" s="2" t="str">
        <f t="shared" si="40"/>
        <v>Bloom on Forty Fifth</v>
      </c>
      <c r="C258" s="1" t="s">
        <v>57</v>
      </c>
      <c r="D258" s="1" t="s">
        <v>41</v>
      </c>
      <c r="E258" s="3">
        <v>1780750</v>
      </c>
      <c r="F258" s="1">
        <v>1601.39388489208</v>
      </c>
      <c r="G258" s="1">
        <v>4</v>
      </c>
      <c r="H258" s="1">
        <v>2</v>
      </c>
      <c r="I258" s="1">
        <v>2</v>
      </c>
      <c r="J258" s="1">
        <v>2</v>
      </c>
      <c r="K258" s="1">
        <v>2</v>
      </c>
      <c r="M258" s="4">
        <v>1112</v>
      </c>
      <c r="N258" s="1">
        <v>1575</v>
      </c>
      <c r="O258" s="1">
        <v>3248</v>
      </c>
      <c r="P258" s="1">
        <v>1673</v>
      </c>
      <c r="S258" s="1" t="s">
        <v>42</v>
      </c>
      <c r="T258" s="1" t="s">
        <v>188</v>
      </c>
      <c r="U258" s="1">
        <v>133</v>
      </c>
      <c r="V258" s="5">
        <v>44358</v>
      </c>
      <c r="W258" s="5">
        <v>44169</v>
      </c>
      <c r="X258" s="1">
        <v>1780750</v>
      </c>
      <c r="Z258" s="5">
        <v>44358</v>
      </c>
      <c r="AB258" s="1" t="s">
        <v>44</v>
      </c>
      <c r="AF258" s="1">
        <v>10036</v>
      </c>
      <c r="AI258" s="1" t="s">
        <v>78</v>
      </c>
      <c r="AJ258" s="1">
        <v>2020</v>
      </c>
      <c r="AK258" s="1" t="s">
        <v>55</v>
      </c>
      <c r="AL258" s="1">
        <v>92</v>
      </c>
    </row>
    <row r="259" spans="1:38" x14ac:dyDescent="0.2">
      <c r="A259" s="2" t="str">
        <f>HYPERLINK("https://www.compass.com/listing/500-west-45th-street-unit-327-manhattan-ny-10036/809447487082822769/","500 W 45th St, Unit 327")</f>
        <v>500 W 45th St, Unit 327</v>
      </c>
      <c r="B259" s="2" t="str">
        <f t="shared" si="40"/>
        <v>Bloom on Forty Fifth</v>
      </c>
      <c r="C259" s="1" t="s">
        <v>57</v>
      </c>
      <c r="D259" s="1" t="s">
        <v>41</v>
      </c>
      <c r="E259" s="3">
        <v>1852400</v>
      </c>
      <c r="F259" s="1">
        <v>1665.82733812949</v>
      </c>
      <c r="G259" s="1">
        <v>5</v>
      </c>
      <c r="H259" s="1">
        <v>2</v>
      </c>
      <c r="I259" s="1">
        <v>2</v>
      </c>
      <c r="J259" s="1">
        <v>2</v>
      </c>
      <c r="K259" s="1">
        <v>2</v>
      </c>
      <c r="M259" s="4">
        <v>1112</v>
      </c>
      <c r="N259" s="1">
        <v>1575</v>
      </c>
      <c r="O259" s="1">
        <v>3248</v>
      </c>
      <c r="P259" s="1">
        <v>1673</v>
      </c>
      <c r="S259" s="1" t="s">
        <v>42</v>
      </c>
      <c r="T259" s="1" t="s">
        <v>188</v>
      </c>
      <c r="V259" s="5">
        <v>44369</v>
      </c>
      <c r="Z259" s="5">
        <v>44369</v>
      </c>
      <c r="AB259" s="1" t="s">
        <v>44</v>
      </c>
      <c r="AF259" s="1">
        <v>10036</v>
      </c>
      <c r="AI259" s="1" t="s">
        <v>78</v>
      </c>
      <c r="AJ259" s="1">
        <v>2020</v>
      </c>
      <c r="AK259" s="1" t="s">
        <v>55</v>
      </c>
      <c r="AL259" s="1">
        <v>92</v>
      </c>
    </row>
    <row r="260" spans="1:38" x14ac:dyDescent="0.2">
      <c r="A260" s="2" t="str">
        <f>HYPERLINK("https://www.compass.com/listing/535-west-52nd-street-unit-10g-manhattan-ny-10019/787295121189506561/","535 W 52nd St, Unit 10G")</f>
        <v>535 W 52nd St, Unit 10G</v>
      </c>
      <c r="B260" s="2" t="str">
        <f>HYPERLINK("https://www.compass.com/building/535-w-52nd-st-manhattan-ny/292847931621444293/","535 W 52nd St")</f>
        <v>535 W 52nd St</v>
      </c>
      <c r="C260" s="1" t="s">
        <v>57</v>
      </c>
      <c r="D260" s="1" t="s">
        <v>41</v>
      </c>
      <c r="E260" s="3">
        <v>628435</v>
      </c>
      <c r="F260" s="1">
        <v>634.78282828282795</v>
      </c>
      <c r="G260" s="1">
        <v>5</v>
      </c>
      <c r="H260" s="1">
        <v>2</v>
      </c>
      <c r="I260" s="1">
        <v>1</v>
      </c>
      <c r="J260" s="1">
        <v>1</v>
      </c>
      <c r="K260" s="1">
        <v>1</v>
      </c>
      <c r="M260" s="1">
        <v>990</v>
      </c>
      <c r="N260" s="1">
        <v>864</v>
      </c>
      <c r="O260" s="1">
        <v>864</v>
      </c>
      <c r="S260" s="1" t="s">
        <v>191</v>
      </c>
      <c r="T260" s="1" t="s">
        <v>188</v>
      </c>
      <c r="U260" s="1">
        <v>36</v>
      </c>
      <c r="V260" s="5">
        <v>44416</v>
      </c>
      <c r="W260" s="5">
        <v>44339</v>
      </c>
      <c r="X260" s="1">
        <v>628435</v>
      </c>
      <c r="Z260" s="5">
        <v>44376</v>
      </c>
      <c r="AB260" s="1" t="s">
        <v>44</v>
      </c>
      <c r="AF260" s="1">
        <v>10019</v>
      </c>
      <c r="AJ260" s="1">
        <v>2014</v>
      </c>
      <c r="AK260" s="1" t="s">
        <v>55</v>
      </c>
      <c r="AL260" s="1">
        <v>95</v>
      </c>
    </row>
    <row r="261" spans="1:38" x14ac:dyDescent="0.2">
      <c r="A261" s="2" t="str">
        <f>HYPERLINK("https://www.compass.com/listing/591-3rd-avenue-unit-20b-manhattan-ny-10016/790469554466778033/","591 3rd Ave, Unit 20B")</f>
        <v>591 3rd Ave, Unit 20B</v>
      </c>
      <c r="B261" s="2" t="str">
        <f t="shared" ref="B261:B262" si="41">HYPERLINK("https://www.compass.com/building/the-lindley-manhattan-ny/282058799928343829/","The Lindley")</f>
        <v>The Lindley</v>
      </c>
      <c r="C261" s="1" t="s">
        <v>165</v>
      </c>
      <c r="D261" s="1" t="s">
        <v>41</v>
      </c>
      <c r="E261" s="3">
        <v>1995000</v>
      </c>
      <c r="F261" s="1">
        <v>1733.2754126846201</v>
      </c>
      <c r="G261" s="1">
        <v>6</v>
      </c>
      <c r="H261" s="1">
        <v>2</v>
      </c>
      <c r="I261" s="1">
        <v>2</v>
      </c>
      <c r="J261" s="1">
        <v>2</v>
      </c>
      <c r="K261" s="1">
        <v>2</v>
      </c>
      <c r="M261" s="4">
        <v>1151</v>
      </c>
      <c r="N261" s="1">
        <v>1824</v>
      </c>
      <c r="O261" s="1">
        <v>2557</v>
      </c>
      <c r="P261" s="1">
        <v>733</v>
      </c>
      <c r="S261" s="1" t="s">
        <v>42</v>
      </c>
      <c r="T261" s="1" t="s">
        <v>188</v>
      </c>
      <c r="U261" s="1">
        <v>67</v>
      </c>
      <c r="V261" s="5">
        <v>44410</v>
      </c>
      <c r="W261" s="5">
        <v>44342</v>
      </c>
      <c r="X261" s="1">
        <v>1995000</v>
      </c>
      <c r="Z261" s="5">
        <v>44410</v>
      </c>
      <c r="AB261" s="1" t="s">
        <v>44</v>
      </c>
      <c r="AF261" s="1">
        <v>10016</v>
      </c>
      <c r="AI261" s="1" t="s">
        <v>166</v>
      </c>
      <c r="AJ261" s="1">
        <v>2018</v>
      </c>
      <c r="AK261" s="1" t="s">
        <v>55</v>
      </c>
      <c r="AL261" s="1">
        <v>74</v>
      </c>
    </row>
    <row r="262" spans="1:38" x14ac:dyDescent="0.2">
      <c r="A262" s="2" t="str">
        <f>HYPERLINK("https://www.compass.com/listing/591-3rd-avenue-unit-10a-manhattan-ny-10016/750020467000715137/","591 3rd Ave, Unit 10A")</f>
        <v>591 3rd Ave, Unit 10A</v>
      </c>
      <c r="B262" s="2" t="str">
        <f t="shared" si="41"/>
        <v>The Lindley</v>
      </c>
      <c r="C262" s="1" t="s">
        <v>165</v>
      </c>
      <c r="D262" s="1" t="s">
        <v>41</v>
      </c>
      <c r="E262" s="3">
        <v>1795000</v>
      </c>
      <c r="F262" s="1">
        <v>1666.6666666666599</v>
      </c>
      <c r="G262" s="1">
        <v>6</v>
      </c>
      <c r="H262" s="1">
        <v>2</v>
      </c>
      <c r="I262" s="1">
        <v>2</v>
      </c>
      <c r="J262" s="1">
        <v>2</v>
      </c>
      <c r="K262" s="1">
        <v>2</v>
      </c>
      <c r="M262" s="4">
        <v>1077</v>
      </c>
      <c r="N262" s="1">
        <v>1636</v>
      </c>
      <c r="O262" s="1">
        <v>2195</v>
      </c>
      <c r="P262" s="1">
        <v>559</v>
      </c>
      <c r="S262" s="1" t="s">
        <v>42</v>
      </c>
      <c r="T262" s="1" t="s">
        <v>188</v>
      </c>
      <c r="U262" s="1">
        <v>97</v>
      </c>
      <c r="V262" s="5">
        <v>44391</v>
      </c>
      <c r="W262" s="5">
        <v>44293</v>
      </c>
      <c r="X262" s="1">
        <v>1795000</v>
      </c>
      <c r="Z262" s="5">
        <v>44391</v>
      </c>
      <c r="AB262" s="1" t="s">
        <v>44</v>
      </c>
      <c r="AF262" s="1">
        <v>10016</v>
      </c>
      <c r="AI262" s="1" t="s">
        <v>166</v>
      </c>
      <c r="AJ262" s="1">
        <v>2018</v>
      </c>
      <c r="AK262" s="1" t="s">
        <v>55</v>
      </c>
      <c r="AL262" s="1">
        <v>74</v>
      </c>
    </row>
    <row r="263" spans="1:38" x14ac:dyDescent="0.2">
      <c r="A263" s="2" t="str">
        <f>HYPERLINK("https://www.compass.com/listing/301-west-53rd-street-unit-25k-manhattan-ny-10019/463222500900486625/","301 W 53rd St, Unit 25K")</f>
        <v>301 W 53rd St, Unit 25K</v>
      </c>
      <c r="B263" s="2" t="str">
        <f>HYPERLINK("https://www.compass.com/building/fifty-third-and-eighth-manhattan-ny/281944545158031557/","Fifty Third and Eighth")</f>
        <v>Fifty Third and Eighth</v>
      </c>
      <c r="C263" s="1" t="s">
        <v>57</v>
      </c>
      <c r="D263" s="1" t="s">
        <v>41</v>
      </c>
      <c r="E263" s="3">
        <v>1800000</v>
      </c>
      <c r="F263" s="1">
        <v>1730.76923076923</v>
      </c>
      <c r="G263" s="1">
        <v>4</v>
      </c>
      <c r="H263" s="1">
        <v>3</v>
      </c>
      <c r="I263" s="1">
        <v>2</v>
      </c>
      <c r="J263" s="1">
        <v>2</v>
      </c>
      <c r="K263" s="1">
        <v>2</v>
      </c>
      <c r="M263" s="4">
        <v>1040</v>
      </c>
      <c r="N263" s="1">
        <v>1057</v>
      </c>
      <c r="O263" s="1">
        <v>2545</v>
      </c>
      <c r="P263" s="1">
        <v>1488</v>
      </c>
      <c r="S263" s="1" t="s">
        <v>42</v>
      </c>
      <c r="T263" s="1" t="s">
        <v>188</v>
      </c>
      <c r="U263" s="1">
        <v>364</v>
      </c>
      <c r="V263" s="5">
        <v>44373</v>
      </c>
      <c r="W263" s="5">
        <v>43964</v>
      </c>
      <c r="X263" s="1">
        <v>1800000</v>
      </c>
      <c r="Z263" s="5">
        <v>44373</v>
      </c>
      <c r="AB263" s="1" t="s">
        <v>44</v>
      </c>
      <c r="AF263" s="1">
        <v>10019</v>
      </c>
      <c r="AI263" s="1" t="s">
        <v>76</v>
      </c>
      <c r="AJ263" s="1">
        <v>2017</v>
      </c>
      <c r="AK263" s="1" t="s">
        <v>50</v>
      </c>
      <c r="AL263" s="1">
        <v>248</v>
      </c>
    </row>
    <row r="264" spans="1:38" x14ac:dyDescent="0.2">
      <c r="A264" s="2" t="str">
        <f>HYPERLINK("https://www.compass.com/listing/150-rivington-street-unit-5g-manhattan-ny-10002/705321060873294681/","150 Rivington St, Unit 5G")</f>
        <v>150 Rivington St, Unit 5G</v>
      </c>
      <c r="B264" s="2" t="str">
        <f t="shared" ref="B264:B266" si="42">HYPERLINK("https://www.compass.com/building/150-rivington-street-manhattan-ny/282058947895000453/","150 Rivington Street")</f>
        <v>150 Rivington Street</v>
      </c>
      <c r="C264" s="1" t="s">
        <v>84</v>
      </c>
      <c r="D264" s="1" t="s">
        <v>41</v>
      </c>
      <c r="E264" s="3">
        <v>1945000</v>
      </c>
      <c r="F264" s="1">
        <v>1890.1846452866801</v>
      </c>
      <c r="G264" s="1">
        <v>4</v>
      </c>
      <c r="H264" s="1">
        <v>2</v>
      </c>
      <c r="I264" s="1">
        <v>2</v>
      </c>
      <c r="J264" s="1">
        <v>2</v>
      </c>
      <c r="K264" s="1">
        <v>2</v>
      </c>
      <c r="M264" s="4">
        <v>1029</v>
      </c>
      <c r="N264" s="1">
        <v>1450</v>
      </c>
      <c r="O264" s="1">
        <v>3301</v>
      </c>
      <c r="P264" s="1">
        <v>1851</v>
      </c>
      <c r="S264" s="1" t="s">
        <v>42</v>
      </c>
      <c r="T264" s="1" t="s">
        <v>188</v>
      </c>
      <c r="U264" s="1">
        <v>194</v>
      </c>
      <c r="V264" s="5">
        <v>44420</v>
      </c>
      <c r="W264" s="5">
        <v>44225</v>
      </c>
      <c r="X264" s="1">
        <v>2055000</v>
      </c>
      <c r="Z264" s="5">
        <v>44419</v>
      </c>
      <c r="AB264" s="1" t="s">
        <v>44</v>
      </c>
      <c r="AF264" s="1">
        <v>10002</v>
      </c>
      <c r="AI264" s="1" t="s">
        <v>54</v>
      </c>
      <c r="AJ264" s="1">
        <v>2019</v>
      </c>
      <c r="AK264" s="1" t="s">
        <v>55</v>
      </c>
      <c r="AL264" s="1">
        <v>45</v>
      </c>
    </row>
    <row r="265" spans="1:38" x14ac:dyDescent="0.2">
      <c r="A265" s="2" t="str">
        <f>HYPERLINK("https://www.compass.com/listing/150-rivington-street-unit-505-manhattan-ny-10002/744893601548576857/","150 Rivington St, Unit 505")</f>
        <v>150 Rivington St, Unit 505</v>
      </c>
      <c r="B265" s="2" t="str">
        <f t="shared" si="42"/>
        <v>150 Rivington Street</v>
      </c>
      <c r="C265" s="1" t="s">
        <v>84</v>
      </c>
      <c r="D265" s="1" t="s">
        <v>41</v>
      </c>
      <c r="E265" s="3">
        <v>2150000</v>
      </c>
      <c r="F265" s="1">
        <v>2011.2254443405</v>
      </c>
      <c r="G265" s="1">
        <v>4</v>
      </c>
      <c r="H265" s="1">
        <v>2</v>
      </c>
      <c r="I265" s="1">
        <v>2</v>
      </c>
      <c r="J265" s="1">
        <v>2</v>
      </c>
      <c r="K265" s="1">
        <v>2</v>
      </c>
      <c r="M265" s="4">
        <v>1069</v>
      </c>
      <c r="N265" s="1">
        <v>1506</v>
      </c>
      <c r="O265" s="1">
        <v>3428</v>
      </c>
      <c r="P265" s="1">
        <v>1922</v>
      </c>
      <c r="S265" s="1" t="s">
        <v>42</v>
      </c>
      <c r="T265" s="1" t="s">
        <v>188</v>
      </c>
      <c r="U265" s="1">
        <v>120</v>
      </c>
      <c r="V265" s="5">
        <v>44400</v>
      </c>
      <c r="W265" s="5">
        <v>44280</v>
      </c>
      <c r="X265" s="1">
        <v>2150000</v>
      </c>
      <c r="Z265" s="5">
        <v>44400</v>
      </c>
      <c r="AB265" s="1" t="s">
        <v>44</v>
      </c>
      <c r="AF265" s="1">
        <v>10002</v>
      </c>
      <c r="AI265" s="1" t="s">
        <v>54</v>
      </c>
      <c r="AJ265" s="1">
        <v>2019</v>
      </c>
      <c r="AK265" s="1" t="s">
        <v>55</v>
      </c>
      <c r="AL265" s="1">
        <v>45</v>
      </c>
    </row>
    <row r="266" spans="1:38" x14ac:dyDescent="0.2">
      <c r="A266" s="2" t="str">
        <f>HYPERLINK("https://www.compass.com/listing/150-rivington-street-unit-2c-manhattan-ny-10002/704212059733250265/","150 Rivington St, Unit 2C")</f>
        <v>150 Rivington St, Unit 2C</v>
      </c>
      <c r="B266" s="2" t="str">
        <f t="shared" si="42"/>
        <v>150 Rivington Street</v>
      </c>
      <c r="C266" s="1" t="s">
        <v>84</v>
      </c>
      <c r="D266" s="1" t="s">
        <v>41</v>
      </c>
      <c r="E266" s="3">
        <v>2595000</v>
      </c>
      <c r="F266" s="1">
        <v>1883.16400580551</v>
      </c>
      <c r="G266" s="1">
        <v>5</v>
      </c>
      <c r="H266" s="1">
        <v>3</v>
      </c>
      <c r="I266" s="1">
        <v>3</v>
      </c>
      <c r="J266" s="1">
        <v>2.5</v>
      </c>
      <c r="K266" s="1">
        <v>2</v>
      </c>
      <c r="L266" s="1">
        <v>1</v>
      </c>
      <c r="M266" s="4">
        <v>1378</v>
      </c>
      <c r="N266" s="1">
        <v>1913</v>
      </c>
      <c r="O266" s="1">
        <v>4355</v>
      </c>
      <c r="P266" s="1">
        <v>2442</v>
      </c>
      <c r="S266" s="1" t="s">
        <v>42</v>
      </c>
      <c r="T266" s="1" t="s">
        <v>188</v>
      </c>
      <c r="U266" s="1">
        <v>189</v>
      </c>
      <c r="V266" s="5">
        <v>44420</v>
      </c>
      <c r="W266" s="5">
        <v>44225</v>
      </c>
      <c r="X266" s="1">
        <v>2595000</v>
      </c>
      <c r="Z266" s="5">
        <v>44415</v>
      </c>
      <c r="AB266" s="1" t="s">
        <v>44</v>
      </c>
      <c r="AF266" s="1">
        <v>10002</v>
      </c>
      <c r="AI266" s="1" t="s">
        <v>54</v>
      </c>
      <c r="AJ266" s="1">
        <v>2019</v>
      </c>
      <c r="AK266" s="1" t="s">
        <v>55</v>
      </c>
      <c r="AL266" s="1">
        <v>45</v>
      </c>
    </row>
    <row r="267" spans="1:38" x14ac:dyDescent="0.2">
      <c r="A267" s="2" t="str">
        <f>HYPERLINK("https://www.compass.com/listing/465-washington-street-fl-6-manhattan-ny-10013/639753899018160417/","465 Washington St, Unit 6")</f>
        <v>465 Washington St, Unit 6</v>
      </c>
      <c r="B267" s="2" t="str">
        <f>HYPERLINK("https://www.compass.com/building/465-washington-street-manhattan-ny/281920073784919813/","465 Washington Street")</f>
        <v>465 Washington Street</v>
      </c>
      <c r="C267" s="1" t="s">
        <v>40</v>
      </c>
      <c r="D267" s="1" t="s">
        <v>41</v>
      </c>
      <c r="E267" s="3">
        <v>5500000</v>
      </c>
      <c r="F267" s="1">
        <v>2806.12244897959</v>
      </c>
      <c r="G267" s="1">
        <v>6</v>
      </c>
      <c r="H267" s="1">
        <v>3</v>
      </c>
      <c r="I267" s="1">
        <v>3</v>
      </c>
      <c r="J267" s="1">
        <v>2.5</v>
      </c>
      <c r="K267" s="1">
        <v>2</v>
      </c>
      <c r="L267" s="1">
        <v>1</v>
      </c>
      <c r="M267" s="4">
        <v>1960</v>
      </c>
      <c r="N267" s="1">
        <v>2197.44</v>
      </c>
      <c r="O267" s="1">
        <v>4774.04</v>
      </c>
      <c r="P267" s="1">
        <v>2576.5833333333298</v>
      </c>
      <c r="S267" s="1" t="s">
        <v>42</v>
      </c>
      <c r="T267" s="1" t="s">
        <v>188</v>
      </c>
      <c r="U267" s="1">
        <v>112</v>
      </c>
      <c r="V267" s="5">
        <v>44334</v>
      </c>
      <c r="W267" s="5">
        <v>44135</v>
      </c>
      <c r="X267" s="1">
        <v>5500000</v>
      </c>
      <c r="Z267" s="5">
        <v>44247</v>
      </c>
      <c r="AB267" s="1" t="s">
        <v>44</v>
      </c>
      <c r="AF267" s="1">
        <v>10013</v>
      </c>
      <c r="AI267" s="1" t="s">
        <v>71</v>
      </c>
      <c r="AJ267" s="1">
        <v>2020</v>
      </c>
      <c r="AK267" s="1" t="s">
        <v>61</v>
      </c>
      <c r="AL267" s="1">
        <v>9</v>
      </c>
    </row>
    <row r="268" spans="1:38" x14ac:dyDescent="0.2">
      <c r="A268" s="2" t="str">
        <f>HYPERLINK("https://www.compass.com/listing/225-west-86th-street-unit-1115-manhattan-ny-10024/842864111098013273/","225 W 86th St, Unit 1115")</f>
        <v>225 W 86th St, Unit 1115</v>
      </c>
      <c r="B268" s="2" t="str">
        <f t="shared" ref="B268:B269" si="43">HYPERLINK("https://www.compass.com/building/the-belnord-manhattan-ny/292869672083214101/","The Belnord")</f>
        <v>The Belnord</v>
      </c>
      <c r="C268" s="1" t="s">
        <v>47</v>
      </c>
      <c r="D268" s="1" t="s">
        <v>41</v>
      </c>
      <c r="E268" s="3">
        <v>6500000</v>
      </c>
      <c r="F268" s="1">
        <v>2958.5798816567999</v>
      </c>
      <c r="G268" s="1">
        <v>8</v>
      </c>
      <c r="H268" s="1">
        <v>3</v>
      </c>
      <c r="I268" s="1">
        <v>3</v>
      </c>
      <c r="J268" s="1">
        <v>2.5</v>
      </c>
      <c r="K268" s="1">
        <v>2</v>
      </c>
      <c r="L268" s="1">
        <v>1</v>
      </c>
      <c r="M268" s="4">
        <v>2197</v>
      </c>
      <c r="N268" s="1">
        <v>1900</v>
      </c>
      <c r="O268" s="1">
        <v>5427</v>
      </c>
      <c r="P268" s="1">
        <v>3527</v>
      </c>
      <c r="Q268" s="1" t="s">
        <v>42</v>
      </c>
      <c r="S268" s="1" t="s">
        <v>42</v>
      </c>
      <c r="T268" s="1" t="s">
        <v>188</v>
      </c>
      <c r="V268" s="5">
        <v>44426</v>
      </c>
      <c r="W268" s="5">
        <v>44414</v>
      </c>
      <c r="X268" s="1">
        <v>6500000</v>
      </c>
      <c r="Z268" s="5">
        <v>44414</v>
      </c>
      <c r="AB268" s="1" t="s">
        <v>44</v>
      </c>
      <c r="AF268" s="1">
        <v>10024</v>
      </c>
      <c r="AI268" s="1" t="s">
        <v>67</v>
      </c>
      <c r="AJ268" s="1">
        <v>1908</v>
      </c>
      <c r="AK268" s="1" t="s">
        <v>81</v>
      </c>
      <c r="AL268" s="1">
        <v>213</v>
      </c>
    </row>
    <row r="269" spans="1:38" x14ac:dyDescent="0.2">
      <c r="A269" s="2" t="str">
        <f>HYPERLINK("https://www.compass.com/listing/225-west-86th-street-unit-609-manhattan-ny-10024/840583755351793313/","225 W 86th St, Unit 609")</f>
        <v>225 W 86th St, Unit 609</v>
      </c>
      <c r="B269" s="2" t="str">
        <f t="shared" si="43"/>
        <v>The Belnord</v>
      </c>
      <c r="C269" s="1" t="s">
        <v>47</v>
      </c>
      <c r="D269" s="1" t="s">
        <v>41</v>
      </c>
      <c r="E269" s="3">
        <v>6250000</v>
      </c>
      <c r="F269" s="1">
        <v>2403.8461538461502</v>
      </c>
      <c r="G269" s="1">
        <v>8.5</v>
      </c>
      <c r="H269" s="1">
        <v>3</v>
      </c>
      <c r="I269" s="1">
        <v>4</v>
      </c>
      <c r="J269" s="1">
        <v>3.5</v>
      </c>
      <c r="K269" s="1">
        <v>3</v>
      </c>
      <c r="L269" s="1">
        <v>1</v>
      </c>
      <c r="M269" s="4">
        <v>2600</v>
      </c>
      <c r="N269" s="1">
        <v>2215</v>
      </c>
      <c r="O269" s="1">
        <v>6218</v>
      </c>
      <c r="P269" s="1">
        <v>4003</v>
      </c>
      <c r="Q269" s="1" t="s">
        <v>42</v>
      </c>
      <c r="S269" s="1" t="s">
        <v>42</v>
      </c>
      <c r="T269" s="1" t="s">
        <v>188</v>
      </c>
      <c r="V269" s="5">
        <v>44413</v>
      </c>
      <c r="W269" s="5">
        <v>44411</v>
      </c>
      <c r="X269" s="1">
        <v>6250000</v>
      </c>
      <c r="Z269" s="5">
        <v>44412</v>
      </c>
      <c r="AB269" s="1" t="s">
        <v>44</v>
      </c>
      <c r="AF269" s="1">
        <v>10024</v>
      </c>
      <c r="AI269" s="1" t="s">
        <v>67</v>
      </c>
      <c r="AJ269" s="1">
        <v>1908</v>
      </c>
      <c r="AK269" s="1" t="s">
        <v>81</v>
      </c>
      <c r="AL269" s="1">
        <v>213</v>
      </c>
    </row>
    <row r="270" spans="1:38" x14ac:dyDescent="0.2">
      <c r="A270" s="2" t="str">
        <f>HYPERLINK("https://www.compass.com/listing/212-west-95th-street-unit-4c-manhattan-ny-10025/279637627626332689/","212 W 95th St, Unit 4C")</f>
        <v>212 W 95th St, Unit 4C</v>
      </c>
      <c r="B270" s="2" t="str">
        <f>HYPERLINK("https://www.compass.com/building/dahlia-manhattan-ny/282058919214351605/","Dahlia")</f>
        <v>Dahlia</v>
      </c>
      <c r="C270" s="1" t="s">
        <v>47</v>
      </c>
      <c r="D270" s="1" t="s">
        <v>41</v>
      </c>
      <c r="E270" s="3">
        <v>1945000</v>
      </c>
      <c r="F270" s="1">
        <v>1799.25994449583</v>
      </c>
      <c r="G270" s="1">
        <v>4</v>
      </c>
      <c r="H270" s="1">
        <v>2</v>
      </c>
      <c r="I270" s="1">
        <v>2</v>
      </c>
      <c r="J270" s="1">
        <v>2</v>
      </c>
      <c r="K270" s="1">
        <v>2</v>
      </c>
      <c r="M270" s="4">
        <v>1081</v>
      </c>
      <c r="N270" s="1">
        <v>815</v>
      </c>
      <c r="O270" s="1">
        <v>2437</v>
      </c>
      <c r="P270" s="1">
        <v>1622</v>
      </c>
      <c r="Q270" s="1" t="s">
        <v>42</v>
      </c>
      <c r="S270" s="1" t="s">
        <v>42</v>
      </c>
      <c r="T270" s="1" t="s">
        <v>188</v>
      </c>
      <c r="U270" s="1">
        <v>21</v>
      </c>
      <c r="V270" s="5">
        <v>44421</v>
      </c>
      <c r="W270" s="5">
        <v>44400</v>
      </c>
      <c r="Z270" s="5">
        <v>44421</v>
      </c>
      <c r="AB270" s="1" t="s">
        <v>44</v>
      </c>
      <c r="AF270" s="1">
        <v>10025</v>
      </c>
      <c r="AI270" s="1" t="s">
        <v>52</v>
      </c>
      <c r="AJ270" s="1">
        <v>2019</v>
      </c>
      <c r="AK270" s="1" t="s">
        <v>87</v>
      </c>
      <c r="AL270" s="1">
        <v>38</v>
      </c>
    </row>
    <row r="271" spans="1:38" x14ac:dyDescent="0.2">
      <c r="A271" s="2" t="str">
        <f>HYPERLINK("https://www.compass.com/listing/200-amsterdam-avenue-unit-45a-manhattan-ny-10023/845512644549923745/","200 Amsterdam Ave, Unit 45A")</f>
        <v>200 Amsterdam Ave, Unit 45A</v>
      </c>
      <c r="B271" s="2" t="str">
        <f>HYPERLINK("https://www.compass.com/building/200-amsterdam-manhattan-ny/344157234608153717/","200 Amsterdam")</f>
        <v>200 Amsterdam</v>
      </c>
      <c r="C271" s="1" t="s">
        <v>47</v>
      </c>
      <c r="D271" s="1" t="s">
        <v>41</v>
      </c>
      <c r="E271" s="3">
        <v>19300000</v>
      </c>
      <c r="F271" s="1">
        <v>4907.1955250444898</v>
      </c>
      <c r="G271" s="1">
        <v>7</v>
      </c>
      <c r="H271" s="1">
        <v>3</v>
      </c>
      <c r="I271" s="1">
        <v>4</v>
      </c>
      <c r="J271" s="1">
        <v>3.5</v>
      </c>
      <c r="K271" s="1">
        <v>3</v>
      </c>
      <c r="L271" s="1">
        <v>1</v>
      </c>
      <c r="M271" s="4">
        <v>3933</v>
      </c>
      <c r="N271" s="1">
        <v>5635</v>
      </c>
      <c r="O271" s="1">
        <v>14496</v>
      </c>
      <c r="P271" s="1">
        <v>8861</v>
      </c>
      <c r="Q271" s="1" t="s">
        <v>42</v>
      </c>
      <c r="S271" s="1" t="s">
        <v>42</v>
      </c>
      <c r="T271" s="1" t="s">
        <v>188</v>
      </c>
      <c r="V271" s="5">
        <v>44419</v>
      </c>
      <c r="W271" s="5">
        <v>44418</v>
      </c>
      <c r="X271" s="1">
        <v>19300000</v>
      </c>
      <c r="Z271" s="5">
        <v>44418</v>
      </c>
      <c r="AB271" s="1" t="s">
        <v>44</v>
      </c>
      <c r="AF271" s="1">
        <v>10023</v>
      </c>
      <c r="AI271" s="1" t="s">
        <v>93</v>
      </c>
      <c r="AJ271" s="1">
        <v>2021</v>
      </c>
      <c r="AK271" s="1" t="s">
        <v>81</v>
      </c>
      <c r="AL271" s="1">
        <v>112</v>
      </c>
    </row>
    <row r="272" spans="1:38" x14ac:dyDescent="0.2">
      <c r="A272" s="2" t="str">
        <f>HYPERLINK("https://www.compass.com/listing/30-park-place-unit-55c-manhattan-ny-10007/748709722177647721/","30 Park Pl, Unit 55C")</f>
        <v>30 Park Pl, Unit 55C</v>
      </c>
      <c r="B272" s="2" t="str">
        <f>HYPERLINK("https://www.compass.com/building/30-park-pl-manhattan-ny-10007/281896912905317605/","30 Park Pl")</f>
        <v>30 Park Pl</v>
      </c>
      <c r="C272" s="1" t="s">
        <v>40</v>
      </c>
      <c r="D272" s="1" t="s">
        <v>41</v>
      </c>
      <c r="E272" s="3">
        <v>4300000</v>
      </c>
      <c r="F272" s="1">
        <v>2786.77900194426</v>
      </c>
      <c r="G272" s="1">
        <v>4</v>
      </c>
      <c r="H272" s="1">
        <v>2</v>
      </c>
      <c r="I272" s="1">
        <v>3</v>
      </c>
      <c r="J272" s="1">
        <v>2.5</v>
      </c>
      <c r="K272" s="1">
        <v>2</v>
      </c>
      <c r="L272" s="1">
        <v>1</v>
      </c>
      <c r="M272" s="4">
        <v>1543</v>
      </c>
      <c r="N272" s="1">
        <v>1330</v>
      </c>
      <c r="O272" s="1">
        <v>4541</v>
      </c>
      <c r="P272" s="1">
        <v>3211</v>
      </c>
      <c r="Q272" s="1" t="s">
        <v>42</v>
      </c>
      <c r="S272" s="1" t="s">
        <v>42</v>
      </c>
      <c r="T272" s="1" t="s">
        <v>188</v>
      </c>
      <c r="U272" s="1">
        <v>128</v>
      </c>
      <c r="V272" s="5">
        <v>44427</v>
      </c>
      <c r="W272" s="5">
        <v>44284</v>
      </c>
      <c r="X272" s="1">
        <v>4300000</v>
      </c>
      <c r="Z272" s="5">
        <v>44412</v>
      </c>
      <c r="AB272" s="1" t="s">
        <v>44</v>
      </c>
      <c r="AF272" s="1">
        <v>10007</v>
      </c>
      <c r="AJ272" s="1">
        <v>2016</v>
      </c>
      <c r="AK272" s="1" t="s">
        <v>81</v>
      </c>
      <c r="AL272" s="1">
        <v>157</v>
      </c>
    </row>
    <row r="273" spans="1:38" x14ac:dyDescent="0.2">
      <c r="A273" s="2" t="str">
        <f>HYPERLINK("https://www.compass.com/listing/150-east-23rd-street-unit-7c-manhattan-ny-10010/788733780262529873/","150 E 23rd St, Unit 7C")</f>
        <v>150 E 23rd St, Unit 7C</v>
      </c>
      <c r="B273" s="2" t="str">
        <f>HYPERLINK("https://www.compass.com/building/celeste-gramercy-manhattan-ny/292795972759607813/","Celeste Gramercy")</f>
        <v>Celeste Gramercy</v>
      </c>
      <c r="C273" s="1" t="s">
        <v>101</v>
      </c>
      <c r="D273" s="1" t="s">
        <v>41</v>
      </c>
      <c r="E273" s="3">
        <v>2425000</v>
      </c>
      <c r="F273" s="1">
        <v>1787.0302137066999</v>
      </c>
      <c r="G273" s="1">
        <v>4</v>
      </c>
      <c r="H273" s="1">
        <v>2</v>
      </c>
      <c r="I273" s="1">
        <v>2</v>
      </c>
      <c r="J273" s="1">
        <v>2</v>
      </c>
      <c r="K273" s="1">
        <v>2</v>
      </c>
      <c r="M273" s="4">
        <v>1357</v>
      </c>
      <c r="N273" s="1">
        <v>1809</v>
      </c>
      <c r="O273" s="1">
        <v>3505</v>
      </c>
      <c r="P273" s="1">
        <v>1696</v>
      </c>
      <c r="Q273" s="1" t="s">
        <v>42</v>
      </c>
      <c r="S273" s="1" t="s">
        <v>42</v>
      </c>
      <c r="T273" s="1" t="s">
        <v>188</v>
      </c>
      <c r="V273" s="5">
        <v>44424</v>
      </c>
      <c r="W273" s="5">
        <v>44342</v>
      </c>
      <c r="Z273" s="5">
        <v>44342</v>
      </c>
      <c r="AB273" s="1" t="s">
        <v>44</v>
      </c>
      <c r="AF273" s="1">
        <v>10010</v>
      </c>
      <c r="AI273" s="1" t="s">
        <v>45</v>
      </c>
      <c r="AJ273" s="1">
        <v>2018</v>
      </c>
      <c r="AK273" s="1" t="s">
        <v>50</v>
      </c>
      <c r="AL273" s="1">
        <v>51</v>
      </c>
    </row>
    <row r="274" spans="1:38" x14ac:dyDescent="0.2">
      <c r="A274" s="2" t="str">
        <f>HYPERLINK("https://www.compass.com/listing/298-east-2nd-street-unit-3-manhattan-ny-10009/435375716428123993/","298 E 2nd St, Unit 3")</f>
        <v>298 E 2nd St, Unit 3</v>
      </c>
      <c r="B274" s="2" t="str">
        <f t="shared" ref="B274:B275" si="44">HYPERLINK("https://www.compass.com/building/houston-house-manhattan-ny/281899376975034613/","Houston House")</f>
        <v>Houston House</v>
      </c>
      <c r="C274" s="1" t="s">
        <v>88</v>
      </c>
      <c r="D274" s="1" t="s">
        <v>41</v>
      </c>
      <c r="E274" s="3">
        <v>1750000</v>
      </c>
      <c r="F274" s="1">
        <v>952.12187159956397</v>
      </c>
      <c r="G274" s="1">
        <v>5</v>
      </c>
      <c r="H274" s="1">
        <v>3</v>
      </c>
      <c r="I274" s="1">
        <v>3</v>
      </c>
      <c r="J274" s="1">
        <v>3</v>
      </c>
      <c r="K274" s="1">
        <v>3</v>
      </c>
      <c r="M274" s="4">
        <v>1838</v>
      </c>
      <c r="N274" s="1">
        <v>1167</v>
      </c>
      <c r="O274" s="1">
        <v>3683</v>
      </c>
      <c r="P274" s="1">
        <v>2516</v>
      </c>
      <c r="Q274" s="1" t="s">
        <v>42</v>
      </c>
      <c r="S274" s="1" t="s">
        <v>42</v>
      </c>
      <c r="T274" s="1" t="s">
        <v>188</v>
      </c>
      <c r="U274" s="1">
        <v>336</v>
      </c>
      <c r="V274" s="5">
        <v>44424</v>
      </c>
      <c r="W274" s="5">
        <v>43852</v>
      </c>
      <c r="X274" s="1">
        <v>2800000</v>
      </c>
      <c r="Z274" s="5">
        <v>44282</v>
      </c>
      <c r="AB274" s="1" t="s">
        <v>44</v>
      </c>
      <c r="AF274" s="1">
        <v>10009</v>
      </c>
      <c r="AI274" s="1" t="s">
        <v>100</v>
      </c>
      <c r="AJ274" s="1">
        <v>2020</v>
      </c>
      <c r="AK274" s="1" t="s">
        <v>61</v>
      </c>
      <c r="AL274" s="1">
        <v>7</v>
      </c>
    </row>
    <row r="275" spans="1:38" x14ac:dyDescent="0.2">
      <c r="A275" s="2" t="str">
        <f>HYPERLINK("https://www.compass.com/listing/298-east-2nd-street-unit-ph-manhattan-ny-10009/612164970811565265/","298 E 2nd St, Unit PH")</f>
        <v>298 E 2nd St, Unit PH</v>
      </c>
      <c r="B275" s="2" t="str">
        <f t="shared" si="44"/>
        <v>Houston House</v>
      </c>
      <c r="C275" s="1" t="s">
        <v>88</v>
      </c>
      <c r="D275" s="1" t="s">
        <v>41</v>
      </c>
      <c r="E275" s="3">
        <v>3000000</v>
      </c>
      <c r="F275" s="1">
        <v>1632.20892274211</v>
      </c>
      <c r="G275" s="1">
        <v>6</v>
      </c>
      <c r="H275" s="1">
        <v>3</v>
      </c>
      <c r="I275" s="1">
        <v>3</v>
      </c>
      <c r="J275" s="1">
        <v>3</v>
      </c>
      <c r="K275" s="1">
        <v>3</v>
      </c>
      <c r="M275" s="4">
        <v>1838</v>
      </c>
      <c r="N275" s="1">
        <v>1341</v>
      </c>
      <c r="O275" s="1">
        <v>4234</v>
      </c>
      <c r="P275" s="1">
        <v>2893</v>
      </c>
      <c r="Q275" s="1" t="s">
        <v>42</v>
      </c>
      <c r="S275" s="1" t="s">
        <v>42</v>
      </c>
      <c r="T275" s="1" t="s">
        <v>188</v>
      </c>
      <c r="U275" s="1">
        <v>279</v>
      </c>
      <c r="V275" s="5">
        <v>44424</v>
      </c>
      <c r="W275" s="5">
        <v>44096</v>
      </c>
      <c r="X275" s="1">
        <v>3000000</v>
      </c>
      <c r="Z275" s="5">
        <v>44375</v>
      </c>
      <c r="AB275" s="1" t="s">
        <v>44</v>
      </c>
      <c r="AF275" s="1">
        <v>10009</v>
      </c>
      <c r="AI275" s="1" t="s">
        <v>170</v>
      </c>
      <c r="AJ275" s="1">
        <v>2020</v>
      </c>
      <c r="AL275" s="1">
        <v>7</v>
      </c>
    </row>
    <row r="276" spans="1:38" x14ac:dyDescent="0.2">
      <c r="A276" s="2" t="str">
        <f>HYPERLINK("https://www.compass.com/listing/175-west-95th-street-unit-16c-manhattan-ny-10025/617878094348939177/","175 W 95th St, Unit 16C")</f>
        <v>175 W 95th St, Unit 16C</v>
      </c>
      <c r="B276" s="2" t="str">
        <f>HYPERLINK("https://www.compass.com/building/175-w-95th-manhattan-ny/292876785429866517/","175 W 95th")</f>
        <v>175 W 95th</v>
      </c>
      <c r="C276" s="1" t="s">
        <v>47</v>
      </c>
      <c r="D276" s="1" t="s">
        <v>41</v>
      </c>
      <c r="E276" s="3">
        <v>2150000</v>
      </c>
      <c r="F276" s="1">
        <v>1715.88188347964</v>
      </c>
      <c r="G276" s="1">
        <v>6</v>
      </c>
      <c r="H276" s="1">
        <v>3</v>
      </c>
      <c r="I276" s="1">
        <v>2</v>
      </c>
      <c r="J276" s="1">
        <v>2</v>
      </c>
      <c r="K276" s="1">
        <v>2</v>
      </c>
      <c r="M276" s="4">
        <v>1253</v>
      </c>
      <c r="N276" s="1">
        <v>1348</v>
      </c>
      <c r="O276" s="1">
        <v>2418</v>
      </c>
      <c r="P276" s="1">
        <v>1070</v>
      </c>
      <c r="Q276" s="1" t="s">
        <v>42</v>
      </c>
      <c r="S276" s="1" t="s">
        <v>42</v>
      </c>
      <c r="T276" s="1" t="s">
        <v>188</v>
      </c>
      <c r="U276" s="1">
        <v>283</v>
      </c>
      <c r="V276" s="5">
        <v>44427</v>
      </c>
      <c r="W276" s="5">
        <v>44099</v>
      </c>
      <c r="X276" s="1">
        <v>2150000</v>
      </c>
      <c r="Z276" s="5">
        <v>44383</v>
      </c>
      <c r="AB276" s="1" t="s">
        <v>44</v>
      </c>
      <c r="AF276" s="1">
        <v>10025</v>
      </c>
      <c r="AI276" s="1" t="s">
        <v>100</v>
      </c>
      <c r="AJ276" s="1">
        <v>1971</v>
      </c>
      <c r="AK276" s="1" t="s">
        <v>50</v>
      </c>
      <c r="AL276" s="1">
        <v>226</v>
      </c>
    </row>
    <row r="277" spans="1:38" x14ac:dyDescent="0.2">
      <c r="A277" s="2" t="str">
        <f>HYPERLINK("https://www.compass.com/listing/298-east-2nd-street-unit-4-manhattan-ny-10009/657725807613107681/","298 E 2nd St, Unit 4")</f>
        <v>298 E 2nd St, Unit 4</v>
      </c>
      <c r="B277" s="2" t="str">
        <f>HYPERLINK("https://www.compass.com/building/houston-house-manhattan-ny/281899376975034613/","Houston House")</f>
        <v>Houston House</v>
      </c>
      <c r="C277" s="1" t="s">
        <v>88</v>
      </c>
      <c r="D277" s="1" t="s">
        <v>41</v>
      </c>
      <c r="E277" s="3">
        <v>3000000</v>
      </c>
      <c r="F277" s="1">
        <v>1632.20892274211</v>
      </c>
      <c r="G277" s="1">
        <v>6</v>
      </c>
      <c r="H277" s="1">
        <v>3</v>
      </c>
      <c r="J277" s="1">
        <v>3</v>
      </c>
      <c r="M277" s="4">
        <v>1838</v>
      </c>
      <c r="N277" s="1">
        <v>1167</v>
      </c>
      <c r="O277" s="1">
        <v>3683</v>
      </c>
      <c r="P277" s="1">
        <v>2516</v>
      </c>
      <c r="S277" s="1" t="s">
        <v>42</v>
      </c>
      <c r="T277" s="1" t="s">
        <v>188</v>
      </c>
      <c r="U277" s="1">
        <v>146</v>
      </c>
      <c r="V277" s="5">
        <v>44410</v>
      </c>
      <c r="W277" s="5">
        <v>44158</v>
      </c>
      <c r="X277" s="1">
        <v>3000000</v>
      </c>
      <c r="Z277" s="5">
        <v>44306</v>
      </c>
      <c r="AB277" s="1" t="s">
        <v>44</v>
      </c>
      <c r="AF277" s="1">
        <v>10009</v>
      </c>
      <c r="AI277" s="1" t="s">
        <v>51</v>
      </c>
      <c r="AJ277" s="1">
        <v>2020</v>
      </c>
      <c r="AK277" s="1" t="s">
        <v>55</v>
      </c>
      <c r="AL277" s="1">
        <v>7</v>
      </c>
    </row>
    <row r="278" spans="1:38" x14ac:dyDescent="0.2">
      <c r="A278" s="2" t="str">
        <f>HYPERLINK("https://www.compass.com/listing/212-west-95th-street-unit-6c-manhattan-ny-10025/315238739831678529/","212 W 95th St, Unit 6C")</f>
        <v>212 W 95th St, Unit 6C</v>
      </c>
      <c r="B278" s="2" t="str">
        <f>HYPERLINK("https://www.compass.com/building/dahlia-manhattan-ny/282058919214351605/","Dahlia")</f>
        <v>Dahlia</v>
      </c>
      <c r="C278" s="1" t="s">
        <v>47</v>
      </c>
      <c r="D278" s="1" t="s">
        <v>41</v>
      </c>
      <c r="E278" s="3">
        <v>1995000</v>
      </c>
      <c r="F278" s="1">
        <v>1845.51341350601</v>
      </c>
      <c r="G278" s="1">
        <v>3</v>
      </c>
      <c r="H278" s="1">
        <v>2</v>
      </c>
      <c r="I278" s="1">
        <v>2</v>
      </c>
      <c r="J278" s="1">
        <v>2</v>
      </c>
      <c r="K278" s="1">
        <v>2</v>
      </c>
      <c r="M278" s="4">
        <v>1081</v>
      </c>
      <c r="N278" s="1">
        <v>838</v>
      </c>
      <c r="O278" s="1">
        <v>2505</v>
      </c>
      <c r="P278" s="1">
        <v>1667</v>
      </c>
      <c r="Q278" s="1" t="s">
        <v>42</v>
      </c>
      <c r="S278" s="1" t="s">
        <v>42</v>
      </c>
      <c r="T278" s="1" t="s">
        <v>188</v>
      </c>
      <c r="U278" s="1">
        <v>203</v>
      </c>
      <c r="V278" s="5">
        <v>44418</v>
      </c>
      <c r="W278" s="5">
        <v>44214</v>
      </c>
      <c r="Z278" s="5">
        <v>44418</v>
      </c>
      <c r="AB278" s="1" t="s">
        <v>44</v>
      </c>
      <c r="AF278" s="1">
        <v>10025</v>
      </c>
      <c r="AI278" s="1" t="s">
        <v>52</v>
      </c>
      <c r="AJ278" s="1">
        <v>2019</v>
      </c>
      <c r="AK278" s="1" t="s">
        <v>87</v>
      </c>
      <c r="AL278" s="1">
        <v>38</v>
      </c>
    </row>
    <row r="279" spans="1:38" x14ac:dyDescent="0.2">
      <c r="A279" s="2" t="str">
        <f>HYPERLINK("https://www.compass.com/listing/298-east-2nd-street-unit-5-manhattan-ny-10009/657723633260422177/","298 E 2nd St, Unit 5")</f>
        <v>298 E 2nd St, Unit 5</v>
      </c>
      <c r="B279" s="2" t="str">
        <f>HYPERLINK("https://www.compass.com/building/houston-house-manhattan-ny/281899376975034613/","Houston House")</f>
        <v>Houston House</v>
      </c>
      <c r="C279" s="1" t="s">
        <v>88</v>
      </c>
      <c r="D279" s="1" t="s">
        <v>41</v>
      </c>
      <c r="E279" s="3">
        <v>3100000</v>
      </c>
      <c r="F279" s="1">
        <v>1686.6158868335101</v>
      </c>
      <c r="G279" s="1">
        <v>6</v>
      </c>
      <c r="H279" s="1">
        <v>3</v>
      </c>
      <c r="J279" s="1">
        <v>3</v>
      </c>
      <c r="M279" s="4">
        <v>1838</v>
      </c>
      <c r="N279" s="1">
        <v>1167</v>
      </c>
      <c r="O279" s="1">
        <v>3683</v>
      </c>
      <c r="P279" s="1">
        <v>2516</v>
      </c>
      <c r="S279" s="1" t="s">
        <v>42</v>
      </c>
      <c r="T279" s="1" t="s">
        <v>188</v>
      </c>
      <c r="U279" s="1">
        <v>146</v>
      </c>
      <c r="V279" s="5">
        <v>44306</v>
      </c>
      <c r="W279" s="5">
        <v>44158</v>
      </c>
      <c r="X279" s="1">
        <v>3100000</v>
      </c>
      <c r="Z279" s="5">
        <v>44306</v>
      </c>
      <c r="AB279" s="1" t="s">
        <v>44</v>
      </c>
      <c r="AF279" s="1">
        <v>10009</v>
      </c>
      <c r="AI279" s="1" t="s">
        <v>51</v>
      </c>
      <c r="AJ279" s="1">
        <v>2020</v>
      </c>
      <c r="AK279" s="1" t="s">
        <v>55</v>
      </c>
      <c r="AL279" s="1">
        <v>7</v>
      </c>
    </row>
    <row r="280" spans="1:38" x14ac:dyDescent="0.2">
      <c r="A280" s="2" t="str">
        <f>HYPERLINK("https://www.compass.com/listing/212-west-95th-street-unit-6a-manhattan-ny-10025/404762395599046225/","212 W 95th St, Unit 6A")</f>
        <v>212 W 95th St, Unit 6A</v>
      </c>
      <c r="B280" s="2" t="str">
        <f>HYPERLINK("https://www.compass.com/building/dahlia-manhattan-ny/282058919214351605/","Dahlia")</f>
        <v>Dahlia</v>
      </c>
      <c r="C280" s="1" t="s">
        <v>47</v>
      </c>
      <c r="D280" s="1" t="s">
        <v>41</v>
      </c>
      <c r="E280" s="3">
        <v>2195000</v>
      </c>
      <c r="F280" s="1">
        <v>1977.4774774774701</v>
      </c>
      <c r="G280" s="1">
        <v>4</v>
      </c>
      <c r="H280" s="1">
        <v>2</v>
      </c>
      <c r="I280" s="1">
        <v>2</v>
      </c>
      <c r="J280" s="1">
        <v>2</v>
      </c>
      <c r="K280" s="1">
        <v>2</v>
      </c>
      <c r="M280" s="4">
        <v>1110</v>
      </c>
      <c r="N280" s="1">
        <v>902.78</v>
      </c>
      <c r="O280" s="1">
        <v>2698.7799999999902</v>
      </c>
      <c r="P280" s="1">
        <v>1796</v>
      </c>
      <c r="Q280" s="1" t="s">
        <v>42</v>
      </c>
      <c r="S280" s="1" t="s">
        <v>42</v>
      </c>
      <c r="T280" s="1" t="s">
        <v>188</v>
      </c>
      <c r="U280" s="1">
        <v>515</v>
      </c>
      <c r="V280" s="5">
        <v>44419</v>
      </c>
      <c r="W280" s="5">
        <v>43809</v>
      </c>
      <c r="X280" s="1">
        <v>2195000</v>
      </c>
      <c r="Z280" s="5">
        <v>44419</v>
      </c>
      <c r="AB280" s="1" t="s">
        <v>44</v>
      </c>
      <c r="AF280" s="1">
        <v>10025</v>
      </c>
      <c r="AI280" s="1" t="s">
        <v>52</v>
      </c>
      <c r="AJ280" s="1">
        <v>2019</v>
      </c>
      <c r="AK280" s="1" t="s">
        <v>87</v>
      </c>
      <c r="AL280" s="1">
        <v>38</v>
      </c>
    </row>
    <row r="281" spans="1:38" x14ac:dyDescent="0.2">
      <c r="A281" s="2" t="str">
        <f>HYPERLINK("https://www.compass.com/listing/150-east-23rd-street-unit-3d-manhattan-ny-10010/574753701078922897/","150 E 23rd St, Unit 3D")</f>
        <v>150 E 23rd St, Unit 3D</v>
      </c>
      <c r="B281" s="2" t="str">
        <f t="shared" ref="B281:B291" si="45">HYPERLINK("https://www.compass.com/building/celeste-gramercy-manhattan-ny/292795972759607813/","Celeste Gramercy")</f>
        <v>Celeste Gramercy</v>
      </c>
      <c r="C281" s="1" t="s">
        <v>101</v>
      </c>
      <c r="D281" s="1" t="s">
        <v>41</v>
      </c>
      <c r="E281" s="3">
        <v>2675000</v>
      </c>
      <c r="F281" s="1">
        <v>2054.5314900153599</v>
      </c>
      <c r="G281" s="1">
        <v>4</v>
      </c>
      <c r="H281" s="1">
        <v>2</v>
      </c>
      <c r="I281" s="1">
        <v>3</v>
      </c>
      <c r="J281" s="1">
        <v>2.5</v>
      </c>
      <c r="K281" s="1">
        <v>2</v>
      </c>
      <c r="L281" s="1">
        <v>1</v>
      </c>
      <c r="M281" s="4">
        <v>1302</v>
      </c>
      <c r="N281" s="1">
        <v>1907</v>
      </c>
      <c r="O281" s="1">
        <v>3694</v>
      </c>
      <c r="P281" s="1">
        <v>1787</v>
      </c>
      <c r="Q281" s="1" t="s">
        <v>42</v>
      </c>
      <c r="S281" s="1" t="s">
        <v>42</v>
      </c>
      <c r="T281" s="1" t="s">
        <v>188</v>
      </c>
      <c r="U281" s="1">
        <v>366</v>
      </c>
      <c r="V281" s="5">
        <v>44424</v>
      </c>
      <c r="W281" s="5">
        <v>44044</v>
      </c>
      <c r="X281" s="1">
        <v>2675000</v>
      </c>
      <c r="Z281" s="5">
        <v>44411</v>
      </c>
      <c r="AB281" s="1" t="s">
        <v>44</v>
      </c>
      <c r="AF281" s="1">
        <v>10010</v>
      </c>
      <c r="AI281" s="1" t="s">
        <v>108</v>
      </c>
      <c r="AJ281" s="1">
        <v>2018</v>
      </c>
      <c r="AK281" s="1" t="s">
        <v>50</v>
      </c>
      <c r="AL281" s="1">
        <v>51</v>
      </c>
    </row>
    <row r="282" spans="1:38" x14ac:dyDescent="0.2">
      <c r="A282" s="2" t="str">
        <f>HYPERLINK("https://www.compass.com/listing/150-east-23rd-street-unit-14c-manhattan-ny-10010/304264828277517217/","150 E 23rd St, Unit 14C")</f>
        <v>150 E 23rd St, Unit 14C</v>
      </c>
      <c r="B282" s="2" t="str">
        <f t="shared" si="45"/>
        <v>Celeste Gramercy</v>
      </c>
      <c r="C282" s="1" t="s">
        <v>101</v>
      </c>
      <c r="D282" s="1" t="s">
        <v>41</v>
      </c>
      <c r="E282" s="3">
        <v>2650000</v>
      </c>
      <c r="F282" s="1">
        <v>2035.3302611367101</v>
      </c>
      <c r="G282" s="1">
        <v>3</v>
      </c>
      <c r="H282" s="1">
        <v>2</v>
      </c>
      <c r="I282" s="1">
        <v>3</v>
      </c>
      <c r="J282" s="1">
        <v>2.5</v>
      </c>
      <c r="K282" s="1">
        <v>2</v>
      </c>
      <c r="L282" s="1">
        <v>1</v>
      </c>
      <c r="M282" s="4">
        <v>1302</v>
      </c>
      <c r="N282" s="1">
        <v>1843</v>
      </c>
      <c r="O282" s="1">
        <v>3570</v>
      </c>
      <c r="P282" s="1">
        <v>1727</v>
      </c>
      <c r="Q282" s="1" t="s">
        <v>42</v>
      </c>
      <c r="S282" s="1" t="s">
        <v>42</v>
      </c>
      <c r="T282" s="1" t="s">
        <v>188</v>
      </c>
      <c r="U282" s="1">
        <v>544</v>
      </c>
      <c r="V282" s="5">
        <v>44424</v>
      </c>
      <c r="W282" s="5">
        <v>43671</v>
      </c>
      <c r="X282" s="1">
        <v>2750000</v>
      </c>
      <c r="Z282" s="5">
        <v>44309</v>
      </c>
      <c r="AB282" s="1" t="s">
        <v>44</v>
      </c>
      <c r="AF282" s="1">
        <v>10010</v>
      </c>
      <c r="AI282" s="1" t="s">
        <v>45</v>
      </c>
      <c r="AJ282" s="1">
        <v>2018</v>
      </c>
      <c r="AK282" s="1" t="s">
        <v>50</v>
      </c>
      <c r="AL282" s="1">
        <v>51</v>
      </c>
    </row>
    <row r="283" spans="1:38" x14ac:dyDescent="0.2">
      <c r="A283" s="2" t="str">
        <f>HYPERLINK("https://www.compass.com/listing/150-east-23rd-street-unit-4c-manhattan-ny-10010/640084823295736353/","150 E 23rd St, Unit 4C")</f>
        <v>150 E 23rd St, Unit 4C</v>
      </c>
      <c r="B283" s="2" t="str">
        <f t="shared" si="45"/>
        <v>Celeste Gramercy</v>
      </c>
      <c r="C283" s="1" t="s">
        <v>101</v>
      </c>
      <c r="D283" s="1" t="s">
        <v>41</v>
      </c>
      <c r="E283" s="3">
        <v>2995000</v>
      </c>
      <c r="F283" s="1">
        <v>1849.90735021618</v>
      </c>
      <c r="G283" s="1">
        <v>5</v>
      </c>
      <c r="H283" s="1">
        <v>3</v>
      </c>
      <c r="I283" s="1">
        <v>3</v>
      </c>
      <c r="J283" s="1">
        <v>3</v>
      </c>
      <c r="K283" s="1">
        <v>3</v>
      </c>
      <c r="M283" s="4">
        <v>1619</v>
      </c>
      <c r="N283" s="1">
        <v>2201</v>
      </c>
      <c r="O283" s="1">
        <v>4263</v>
      </c>
      <c r="P283" s="1">
        <v>2062</v>
      </c>
      <c r="Q283" s="1" t="s">
        <v>42</v>
      </c>
      <c r="S283" s="1" t="s">
        <v>42</v>
      </c>
      <c r="T283" s="1" t="s">
        <v>188</v>
      </c>
      <c r="U283" s="1">
        <v>273</v>
      </c>
      <c r="V283" s="5">
        <v>44424</v>
      </c>
      <c r="W283" s="5">
        <v>44134</v>
      </c>
      <c r="X283" s="1">
        <v>2995000</v>
      </c>
      <c r="Z283" s="5">
        <v>44408</v>
      </c>
      <c r="AB283" s="1" t="s">
        <v>44</v>
      </c>
      <c r="AF283" s="1">
        <v>10010</v>
      </c>
      <c r="AI283" s="1" t="s">
        <v>45</v>
      </c>
      <c r="AJ283" s="1">
        <v>2018</v>
      </c>
      <c r="AK283" s="1" t="s">
        <v>50</v>
      </c>
      <c r="AL283" s="1">
        <v>51</v>
      </c>
    </row>
    <row r="284" spans="1:38" x14ac:dyDescent="0.2">
      <c r="A284" s="2" t="str">
        <f>HYPERLINK("https://www.compass.com/listing/150-east-23rd-street-unit-16b-manhattan-ny-10010/122395332268036673/","150 E 23rd St, Unit 16B")</f>
        <v>150 E 23rd St, Unit 16B</v>
      </c>
      <c r="B284" s="2" t="str">
        <f t="shared" si="45"/>
        <v>Celeste Gramercy</v>
      </c>
      <c r="C284" s="1" t="s">
        <v>101</v>
      </c>
      <c r="D284" s="1" t="s">
        <v>41</v>
      </c>
      <c r="E284" s="3">
        <v>4250000</v>
      </c>
      <c r="F284" s="1">
        <v>2116.5338645418301</v>
      </c>
      <c r="G284" s="1">
        <v>6.5</v>
      </c>
      <c r="H284" s="1">
        <v>3</v>
      </c>
      <c r="I284" s="1">
        <v>3</v>
      </c>
      <c r="J284" s="1">
        <v>2.5</v>
      </c>
      <c r="K284" s="1">
        <v>2</v>
      </c>
      <c r="L284" s="1">
        <v>1</v>
      </c>
      <c r="M284" s="4">
        <v>2008</v>
      </c>
      <c r="N284" s="1">
        <v>2885</v>
      </c>
      <c r="O284" s="1">
        <v>5588</v>
      </c>
      <c r="P284" s="1">
        <v>2703</v>
      </c>
      <c r="Q284" s="1" t="s">
        <v>42</v>
      </c>
      <c r="S284" s="1" t="s">
        <v>42</v>
      </c>
      <c r="T284" s="1" t="s">
        <v>188</v>
      </c>
      <c r="U284" s="1">
        <v>795</v>
      </c>
      <c r="V284" s="5">
        <v>44424</v>
      </c>
      <c r="W284" s="5">
        <v>43420</v>
      </c>
      <c r="X284" s="1">
        <v>4250000</v>
      </c>
      <c r="Z284" s="5">
        <v>44309</v>
      </c>
      <c r="AB284" s="1" t="s">
        <v>44</v>
      </c>
      <c r="AF284" s="1">
        <v>10010</v>
      </c>
      <c r="AI284" s="1" t="s">
        <v>108</v>
      </c>
      <c r="AJ284" s="1">
        <v>2018</v>
      </c>
      <c r="AK284" s="1" t="s">
        <v>81</v>
      </c>
      <c r="AL284" s="1">
        <v>51</v>
      </c>
    </row>
    <row r="285" spans="1:38" x14ac:dyDescent="0.2">
      <c r="A285" s="2" t="str">
        <f>HYPERLINK("https://www.compass.com/listing/150-east-23rd-street-unit-11b-manhattan-ny-10010/122395331840239025/","150 E 23rd St, Unit 11B")</f>
        <v>150 E 23rd St, Unit 11B</v>
      </c>
      <c r="B285" s="2" t="str">
        <f t="shared" si="45"/>
        <v>Celeste Gramercy</v>
      </c>
      <c r="C285" s="1" t="s">
        <v>101</v>
      </c>
      <c r="D285" s="1" t="s">
        <v>41</v>
      </c>
      <c r="E285" s="3">
        <v>3145000</v>
      </c>
      <c r="F285" s="1">
        <v>2001.9096117122799</v>
      </c>
      <c r="G285" s="1">
        <v>5</v>
      </c>
      <c r="H285" s="1">
        <v>3</v>
      </c>
      <c r="I285" s="1">
        <v>3</v>
      </c>
      <c r="J285" s="1">
        <v>3</v>
      </c>
      <c r="K285" s="1">
        <v>3</v>
      </c>
      <c r="M285" s="4">
        <v>1571</v>
      </c>
      <c r="N285" s="1">
        <v>2184</v>
      </c>
      <c r="O285" s="1">
        <v>4231</v>
      </c>
      <c r="P285" s="1">
        <v>2047</v>
      </c>
      <c r="Q285" s="1" t="s">
        <v>42</v>
      </c>
      <c r="S285" s="1" t="s">
        <v>42</v>
      </c>
      <c r="T285" s="1" t="s">
        <v>188</v>
      </c>
      <c r="V285" s="5">
        <v>44424</v>
      </c>
      <c r="W285" s="5">
        <v>43420</v>
      </c>
      <c r="X285" s="1">
        <v>3145000</v>
      </c>
      <c r="Z285" s="5">
        <v>43420</v>
      </c>
      <c r="AB285" s="1" t="s">
        <v>44</v>
      </c>
      <c r="AF285" s="1">
        <v>10010</v>
      </c>
      <c r="AI285" s="1" t="s">
        <v>45</v>
      </c>
      <c r="AJ285" s="1">
        <v>2018</v>
      </c>
      <c r="AK285" s="1" t="s">
        <v>81</v>
      </c>
      <c r="AL285" s="1">
        <v>51</v>
      </c>
    </row>
    <row r="286" spans="1:38" x14ac:dyDescent="0.2">
      <c r="A286" s="2" t="str">
        <f>HYPERLINK("https://www.compass.com/listing/150-east-23rd-street-unit-14a-manhattan-ny-10010/437701015236881849/","150 E 23rd St, Unit 14A")</f>
        <v>150 E 23rd St, Unit 14A</v>
      </c>
      <c r="B286" s="2" t="str">
        <f t="shared" si="45"/>
        <v>Celeste Gramercy</v>
      </c>
      <c r="C286" s="1" t="s">
        <v>101</v>
      </c>
      <c r="D286" s="1" t="s">
        <v>41</v>
      </c>
      <c r="E286" s="3">
        <v>2500000</v>
      </c>
      <c r="F286" s="1">
        <v>1805.0541516245401</v>
      </c>
      <c r="G286" s="1">
        <v>3</v>
      </c>
      <c r="H286" s="1">
        <v>2</v>
      </c>
      <c r="I286" s="1">
        <v>3</v>
      </c>
      <c r="J286" s="1">
        <v>2.5</v>
      </c>
      <c r="K286" s="1">
        <v>2</v>
      </c>
      <c r="L286" s="1">
        <v>1</v>
      </c>
      <c r="M286" s="4">
        <v>1385</v>
      </c>
      <c r="N286" s="1">
        <v>1866</v>
      </c>
      <c r="O286" s="1">
        <v>3219</v>
      </c>
      <c r="P286" s="1">
        <v>1353</v>
      </c>
      <c r="Q286" s="1" t="s">
        <v>42</v>
      </c>
      <c r="S286" s="1" t="s">
        <v>42</v>
      </c>
      <c r="T286" s="1" t="s">
        <v>188</v>
      </c>
      <c r="V286" s="5">
        <v>44424</v>
      </c>
      <c r="W286" s="5">
        <v>43855</v>
      </c>
      <c r="Z286" s="5">
        <v>43855</v>
      </c>
      <c r="AB286" s="1" t="s">
        <v>44</v>
      </c>
      <c r="AF286" s="1">
        <v>10010</v>
      </c>
      <c r="AI286" s="1" t="s">
        <v>45</v>
      </c>
      <c r="AJ286" s="1">
        <v>2018</v>
      </c>
      <c r="AK286" s="1" t="s">
        <v>50</v>
      </c>
      <c r="AL286" s="1">
        <v>51</v>
      </c>
    </row>
    <row r="287" spans="1:38" x14ac:dyDescent="0.2">
      <c r="A287" s="2" t="str">
        <f>HYPERLINK("https://www.compass.com/listing/150-east-23rd-street-unit-17b-manhattan-ny-10010/122395328275058929/","150 E 23rd St, Unit 17B")</f>
        <v>150 E 23rd St, Unit 17B</v>
      </c>
      <c r="B287" s="2" t="str">
        <f t="shared" si="45"/>
        <v>Celeste Gramercy</v>
      </c>
      <c r="C287" s="1" t="s">
        <v>101</v>
      </c>
      <c r="D287" s="1" t="s">
        <v>41</v>
      </c>
      <c r="E287" s="3">
        <v>2995000</v>
      </c>
      <c r="F287" s="1">
        <v>2098.8086895585102</v>
      </c>
      <c r="G287" s="1">
        <v>4</v>
      </c>
      <c r="H287" s="1">
        <v>2</v>
      </c>
      <c r="I287" s="1">
        <v>3</v>
      </c>
      <c r="J287" s="1">
        <v>2.5</v>
      </c>
      <c r="K287" s="1">
        <v>2</v>
      </c>
      <c r="L287" s="1">
        <v>1</v>
      </c>
      <c r="M287" s="4">
        <v>1427</v>
      </c>
      <c r="N287" s="1">
        <v>2072</v>
      </c>
      <c r="O287" s="1">
        <v>4014</v>
      </c>
      <c r="P287" s="1">
        <v>1942</v>
      </c>
      <c r="Q287" s="1" t="s">
        <v>42</v>
      </c>
      <c r="S287" s="1" t="s">
        <v>42</v>
      </c>
      <c r="T287" s="1" t="s">
        <v>188</v>
      </c>
      <c r="U287" s="1">
        <v>137</v>
      </c>
      <c r="V287" s="5">
        <v>44424</v>
      </c>
      <c r="W287" s="5">
        <v>44019</v>
      </c>
      <c r="X287" s="1">
        <v>2995000</v>
      </c>
      <c r="Z287" s="5">
        <v>44156</v>
      </c>
      <c r="AB287" s="1" t="s">
        <v>44</v>
      </c>
      <c r="AF287" s="1">
        <v>10010</v>
      </c>
      <c r="AI287" s="1" t="s">
        <v>127</v>
      </c>
      <c r="AJ287" s="1">
        <v>2018</v>
      </c>
      <c r="AK287" s="1" t="s">
        <v>81</v>
      </c>
      <c r="AL287" s="1">
        <v>51</v>
      </c>
    </row>
    <row r="288" spans="1:38" x14ac:dyDescent="0.2">
      <c r="A288" s="2" t="str">
        <f>HYPERLINK("https://www.compass.com/listing/150-east-23rd-street-unit-phb-manhattan-ny-10010/247835960765685073/","150 E 23rd St, Unit PHB")</f>
        <v>150 E 23rd St, Unit PHB</v>
      </c>
      <c r="B288" s="2" t="str">
        <f t="shared" si="45"/>
        <v>Celeste Gramercy</v>
      </c>
      <c r="C288" s="1" t="s">
        <v>101</v>
      </c>
      <c r="D288" s="1" t="s">
        <v>41</v>
      </c>
      <c r="E288" s="3">
        <v>6650000</v>
      </c>
      <c r="F288" s="1">
        <v>2506.5963060685999</v>
      </c>
      <c r="G288" s="1">
        <v>5</v>
      </c>
      <c r="H288" s="1">
        <v>3</v>
      </c>
      <c r="I288" s="1">
        <v>4</v>
      </c>
      <c r="J288" s="1">
        <v>3.5</v>
      </c>
      <c r="K288" s="1">
        <v>3</v>
      </c>
      <c r="L288" s="1">
        <v>1</v>
      </c>
      <c r="M288" s="4">
        <v>2653</v>
      </c>
      <c r="N288" s="1">
        <v>4098</v>
      </c>
      <c r="O288" s="1">
        <v>7070</v>
      </c>
      <c r="P288" s="1">
        <v>2972</v>
      </c>
      <c r="Q288" s="1" t="s">
        <v>42</v>
      </c>
      <c r="S288" s="1" t="s">
        <v>42</v>
      </c>
      <c r="T288" s="1" t="s">
        <v>188</v>
      </c>
      <c r="V288" s="5">
        <v>44424</v>
      </c>
      <c r="W288" s="5">
        <v>43593</v>
      </c>
      <c r="X288" s="1">
        <v>6650000</v>
      </c>
      <c r="Z288" s="5">
        <v>43593</v>
      </c>
      <c r="AB288" s="1" t="s">
        <v>44</v>
      </c>
      <c r="AF288" s="1">
        <v>10010</v>
      </c>
      <c r="AI288" s="1" t="s">
        <v>108</v>
      </c>
      <c r="AJ288" s="1">
        <v>2018</v>
      </c>
      <c r="AK288" s="1" t="s">
        <v>50</v>
      </c>
      <c r="AL288" s="1">
        <v>51</v>
      </c>
    </row>
    <row r="289" spans="1:38" x14ac:dyDescent="0.2">
      <c r="A289" s="2" t="str">
        <f>HYPERLINK("https://www.compass.com/listing/150-east-23rd-street-unit-11c-manhattan-ny-10010/304281576770629201/","150 E 23rd St, Unit 11C")</f>
        <v>150 E 23rd St, Unit 11C</v>
      </c>
      <c r="B289" s="2" t="str">
        <f t="shared" si="45"/>
        <v>Celeste Gramercy</v>
      </c>
      <c r="C289" s="1" t="s">
        <v>101</v>
      </c>
      <c r="D289" s="1" t="s">
        <v>41</v>
      </c>
      <c r="E289" s="3">
        <v>2750000</v>
      </c>
      <c r="F289" s="1">
        <v>2112.1351766512998</v>
      </c>
      <c r="G289" s="1">
        <v>3</v>
      </c>
      <c r="H289" s="1">
        <v>2</v>
      </c>
      <c r="I289" s="1">
        <v>3</v>
      </c>
      <c r="J289" s="1">
        <v>2.5</v>
      </c>
      <c r="K289" s="1">
        <v>2</v>
      </c>
      <c r="L289" s="1">
        <v>1</v>
      </c>
      <c r="M289" s="4">
        <v>1302</v>
      </c>
      <c r="N289" s="1">
        <v>1824</v>
      </c>
      <c r="O289" s="1">
        <v>3147</v>
      </c>
      <c r="P289" s="1">
        <v>1323</v>
      </c>
      <c r="Q289" s="1" t="s">
        <v>42</v>
      </c>
      <c r="S289" s="1" t="s">
        <v>42</v>
      </c>
      <c r="T289" s="1" t="s">
        <v>188</v>
      </c>
      <c r="V289" s="5">
        <v>44424</v>
      </c>
      <c r="W289" s="5">
        <v>43671</v>
      </c>
      <c r="X289" s="1">
        <v>2650000</v>
      </c>
      <c r="Z289" s="5">
        <v>43671</v>
      </c>
      <c r="AB289" s="1" t="s">
        <v>44</v>
      </c>
      <c r="AF289" s="1">
        <v>10010</v>
      </c>
      <c r="AI289" s="1" t="s">
        <v>45</v>
      </c>
      <c r="AJ289" s="1">
        <v>2018</v>
      </c>
      <c r="AK289" s="1" t="s">
        <v>50</v>
      </c>
      <c r="AL289" s="1">
        <v>51</v>
      </c>
    </row>
    <row r="290" spans="1:38" x14ac:dyDescent="0.2">
      <c r="A290" s="2" t="str">
        <f>HYPERLINK("https://www.compass.com/listing/150-east-23rd-street-unit-3a-manhattan-ny-10010/122395326370844353/","150 E 23rd St, Unit 3A")</f>
        <v>150 E 23rd St, Unit 3A</v>
      </c>
      <c r="B290" s="2" t="str">
        <f t="shared" si="45"/>
        <v>Celeste Gramercy</v>
      </c>
      <c r="C290" s="1" t="s">
        <v>101</v>
      </c>
      <c r="D290" s="1" t="s">
        <v>41</v>
      </c>
      <c r="E290" s="3">
        <v>1175000</v>
      </c>
      <c r="F290" s="1">
        <v>1697.9768786127099</v>
      </c>
      <c r="G290" s="1">
        <v>3</v>
      </c>
      <c r="H290" s="1">
        <v>1</v>
      </c>
      <c r="I290" s="1">
        <v>1</v>
      </c>
      <c r="J290" s="1">
        <v>1</v>
      </c>
      <c r="K290" s="1">
        <v>1</v>
      </c>
      <c r="M290" s="1">
        <v>692</v>
      </c>
      <c r="N290" s="1">
        <v>900</v>
      </c>
      <c r="O290" s="1">
        <v>1553</v>
      </c>
      <c r="P290" s="1">
        <v>653</v>
      </c>
      <c r="Q290" s="1" t="s">
        <v>42</v>
      </c>
      <c r="S290" s="1" t="s">
        <v>42</v>
      </c>
      <c r="T290" s="1" t="s">
        <v>188</v>
      </c>
      <c r="U290" s="1">
        <v>173</v>
      </c>
      <c r="V290" s="5">
        <v>44424</v>
      </c>
      <c r="W290" s="5">
        <v>43420</v>
      </c>
      <c r="X290" s="1">
        <v>1110000</v>
      </c>
      <c r="Z290" s="5">
        <v>43594</v>
      </c>
      <c r="AB290" s="1" t="s">
        <v>44</v>
      </c>
      <c r="AF290" s="1">
        <v>10010</v>
      </c>
      <c r="AI290" s="1" t="s">
        <v>45</v>
      </c>
      <c r="AJ290" s="1">
        <v>2018</v>
      </c>
      <c r="AK290" s="1" t="s">
        <v>50</v>
      </c>
      <c r="AL290" s="1">
        <v>51</v>
      </c>
    </row>
    <row r="291" spans="1:38" x14ac:dyDescent="0.2">
      <c r="A291" s="2" t="str">
        <f>HYPERLINK("https://www.compass.com/listing/150-east-23rd-street-unit-3b-manhattan-ny-10010/195706579998243921/","150 E 23rd St, Unit 3B")</f>
        <v>150 E 23rd St, Unit 3B</v>
      </c>
      <c r="B291" s="2" t="str">
        <f t="shared" si="45"/>
        <v>Celeste Gramercy</v>
      </c>
      <c r="C291" s="1" t="s">
        <v>101</v>
      </c>
      <c r="D291" s="1" t="s">
        <v>41</v>
      </c>
      <c r="E291" s="3">
        <v>1140000</v>
      </c>
      <c r="F291" s="1">
        <v>1764.7058823529401</v>
      </c>
      <c r="G291" s="1">
        <v>3</v>
      </c>
      <c r="H291" s="1">
        <v>1</v>
      </c>
      <c r="I291" s="1">
        <v>1</v>
      </c>
      <c r="J291" s="1">
        <v>1</v>
      </c>
      <c r="K291" s="1">
        <v>1</v>
      </c>
      <c r="M291" s="1">
        <v>646</v>
      </c>
      <c r="N291" s="1">
        <v>849</v>
      </c>
      <c r="O291" s="1">
        <v>1465</v>
      </c>
      <c r="P291" s="1">
        <v>616</v>
      </c>
      <c r="Q291" s="1" t="s">
        <v>42</v>
      </c>
      <c r="S291" s="1" t="s">
        <v>42</v>
      </c>
      <c r="T291" s="1" t="s">
        <v>188</v>
      </c>
      <c r="V291" s="5">
        <v>44424</v>
      </c>
      <c r="W291" s="5">
        <v>43521</v>
      </c>
      <c r="Z291" s="5">
        <v>43521</v>
      </c>
      <c r="AB291" s="1" t="s">
        <v>44</v>
      </c>
      <c r="AF291" s="1">
        <v>10010</v>
      </c>
      <c r="AI291" s="1" t="s">
        <v>45</v>
      </c>
      <c r="AJ291" s="1">
        <v>2018</v>
      </c>
      <c r="AK291" s="1" t="s">
        <v>50</v>
      </c>
      <c r="AL291" s="1">
        <v>51</v>
      </c>
    </row>
    <row r="292" spans="1:38" x14ac:dyDescent="0.2">
      <c r="A292" s="2" t="str">
        <f>HYPERLINK("https://www.compass.com/listing/111-leroy-street-unit-1-manhattan-ny-10014/185857847223917025/","111 Leroy St, Unit 1")</f>
        <v>111 Leroy St, Unit 1</v>
      </c>
      <c r="B292" s="2" t="str">
        <f t="shared" ref="B292:B293" si="46">HYPERLINK("https://www.compass.com/building/111-leroy-st-manhattan-ny-10014/281921905882074869/","111 Leroy St")</f>
        <v>111 Leroy St</v>
      </c>
      <c r="C292" s="1" t="s">
        <v>68</v>
      </c>
      <c r="D292" s="1" t="s">
        <v>41</v>
      </c>
      <c r="E292" s="3">
        <v>4150000</v>
      </c>
      <c r="F292" s="1">
        <v>2036.31010794896</v>
      </c>
      <c r="G292" s="1">
        <v>4</v>
      </c>
      <c r="H292" s="1">
        <v>2</v>
      </c>
      <c r="I292" s="1">
        <v>3</v>
      </c>
      <c r="J292" s="1">
        <v>2.5</v>
      </c>
      <c r="K292" s="1">
        <v>2</v>
      </c>
      <c r="L292" s="1">
        <v>1</v>
      </c>
      <c r="M292" s="4">
        <v>2038</v>
      </c>
      <c r="N292" s="1">
        <v>2980</v>
      </c>
      <c r="O292" s="1">
        <v>5533</v>
      </c>
      <c r="P292" s="1">
        <v>2553</v>
      </c>
      <c r="Q292" s="1" t="s">
        <v>42</v>
      </c>
      <c r="S292" s="1" t="s">
        <v>42</v>
      </c>
      <c r="T292" s="1" t="s">
        <v>188</v>
      </c>
      <c r="U292" s="1">
        <v>637</v>
      </c>
      <c r="V292" s="5">
        <v>44337</v>
      </c>
      <c r="W292" s="5">
        <v>43507</v>
      </c>
      <c r="Z292" s="5">
        <v>44239</v>
      </c>
      <c r="AB292" s="1" t="s">
        <v>44</v>
      </c>
      <c r="AF292" s="1">
        <v>10014</v>
      </c>
      <c r="AI292" s="1" t="s">
        <v>192</v>
      </c>
      <c r="AJ292" s="1">
        <v>2019</v>
      </c>
      <c r="AK292" s="1" t="s">
        <v>121</v>
      </c>
      <c r="AL292" s="1">
        <v>13</v>
      </c>
    </row>
    <row r="293" spans="1:38" x14ac:dyDescent="0.2">
      <c r="A293" s="2" t="str">
        <f>HYPERLINK("https://www.compass.com/listing/111-leroy-street-unit-2-manhattan-ny-10014/242818745444090081/","111 Leroy St, Unit 2")</f>
        <v>111 Leroy St, Unit 2</v>
      </c>
      <c r="B293" s="2" t="str">
        <f t="shared" si="46"/>
        <v>111 Leroy St</v>
      </c>
      <c r="C293" s="1" t="s">
        <v>68</v>
      </c>
      <c r="D293" s="1" t="s">
        <v>41</v>
      </c>
      <c r="E293" s="3">
        <v>5950000</v>
      </c>
      <c r="F293" s="1">
        <v>2000</v>
      </c>
      <c r="G293" s="1">
        <v>5</v>
      </c>
      <c r="H293" s="1">
        <v>3</v>
      </c>
      <c r="I293" s="1">
        <v>4</v>
      </c>
      <c r="J293" s="1">
        <v>3.5</v>
      </c>
      <c r="K293" s="1">
        <v>3</v>
      </c>
      <c r="L293" s="1">
        <v>1</v>
      </c>
      <c r="M293" s="4">
        <v>2975</v>
      </c>
      <c r="N293" s="1">
        <v>3957</v>
      </c>
      <c r="O293" s="1">
        <v>7329</v>
      </c>
      <c r="P293" s="1">
        <v>3372</v>
      </c>
      <c r="Q293" s="1" t="s">
        <v>42</v>
      </c>
      <c r="S293" s="1" t="s">
        <v>42</v>
      </c>
      <c r="T293" s="1" t="s">
        <v>188</v>
      </c>
      <c r="U293" s="1">
        <v>715</v>
      </c>
      <c r="V293" s="5">
        <v>44427</v>
      </c>
      <c r="W293" s="5">
        <v>43580</v>
      </c>
      <c r="Z293" s="5">
        <v>44390</v>
      </c>
      <c r="AB293" s="1" t="s">
        <v>44</v>
      </c>
      <c r="AF293" s="1">
        <v>10014</v>
      </c>
      <c r="AI293" s="1" t="s">
        <v>76</v>
      </c>
      <c r="AJ293" s="1">
        <v>2019</v>
      </c>
      <c r="AK293" s="1" t="s">
        <v>121</v>
      </c>
      <c r="AL293" s="1">
        <v>13</v>
      </c>
    </row>
    <row r="294" spans="1:38" x14ac:dyDescent="0.2">
      <c r="A294" s="2" t="str">
        <f>HYPERLINK("https://www.compass.com/listing/40-bleecker-street-unit-8c-manhattan-ny-10012/29515238168655601/","40 Bleecker St, Unit 8C")</f>
        <v>40 Bleecker St, Unit 8C</v>
      </c>
      <c r="B294" s="2" t="str">
        <f>HYPERLINK("https://www.compass.com/building/40-bleecker-manhattan-ny/282058881784380757/","40 Bleecker")</f>
        <v>40 Bleecker</v>
      </c>
      <c r="C294" s="1" t="s">
        <v>92</v>
      </c>
      <c r="D294" s="1" t="s">
        <v>41</v>
      </c>
      <c r="E294" s="3">
        <v>3550000</v>
      </c>
      <c r="F294" s="1">
        <v>3247.9414455626702</v>
      </c>
      <c r="G294" s="1">
        <v>4</v>
      </c>
      <c r="H294" s="1">
        <v>2</v>
      </c>
      <c r="I294" s="1">
        <v>2</v>
      </c>
      <c r="J294" s="1">
        <v>2</v>
      </c>
      <c r="K294" s="1">
        <v>2</v>
      </c>
      <c r="M294" s="4">
        <v>1093</v>
      </c>
      <c r="N294" s="1">
        <v>1588</v>
      </c>
      <c r="O294" s="1">
        <v>3464</v>
      </c>
      <c r="P294" s="1">
        <v>1876</v>
      </c>
      <c r="Q294" s="1" t="s">
        <v>42</v>
      </c>
      <c r="S294" s="1" t="s">
        <v>42</v>
      </c>
      <c r="T294" s="1" t="s">
        <v>188</v>
      </c>
      <c r="V294" s="5">
        <v>44427</v>
      </c>
      <c r="W294" s="5">
        <v>43185</v>
      </c>
      <c r="X294" s="1">
        <v>3550000</v>
      </c>
      <c r="Z294" s="5">
        <v>43186</v>
      </c>
      <c r="AB294" s="1" t="s">
        <v>44</v>
      </c>
      <c r="AF294" s="1">
        <v>10012</v>
      </c>
      <c r="AI294" s="1" t="s">
        <v>58</v>
      </c>
      <c r="AJ294" s="1">
        <v>2019</v>
      </c>
      <c r="AK294" s="1" t="s">
        <v>94</v>
      </c>
      <c r="AL294" s="1">
        <v>61</v>
      </c>
    </row>
    <row r="295" spans="1:38" x14ac:dyDescent="0.2">
      <c r="A295" s="2" t="str">
        <f>HYPERLINK("https://www.compass.com/listing/40-east-72nd-street-unit-2-manhattan-ny-10021/784782160211942497/","40 E 72nd St, Unit 2")</f>
        <v>40 E 72nd St, Unit 2</v>
      </c>
      <c r="B295" s="2" t="str">
        <f>HYPERLINK("https://www.compass.com/building/40-e-72nd-st-manhattan-ny-10021/281950881342095285/","40 E 72nd St")</f>
        <v>40 E 72nd St</v>
      </c>
      <c r="C295" s="1" t="s">
        <v>53</v>
      </c>
      <c r="D295" s="1" t="s">
        <v>41</v>
      </c>
      <c r="E295" s="3">
        <v>8900000</v>
      </c>
      <c r="F295" s="1">
        <v>2842.5423187480001</v>
      </c>
      <c r="G295" s="1">
        <v>6</v>
      </c>
      <c r="H295" s="1">
        <v>3</v>
      </c>
      <c r="I295" s="1">
        <v>4</v>
      </c>
      <c r="J295" s="1">
        <v>3.5</v>
      </c>
      <c r="K295" s="1">
        <v>3</v>
      </c>
      <c r="L295" s="1">
        <v>1</v>
      </c>
      <c r="M295" s="4">
        <v>3131</v>
      </c>
      <c r="N295" s="1">
        <v>5314</v>
      </c>
      <c r="O295" s="1">
        <v>8815</v>
      </c>
      <c r="P295" s="1">
        <v>3501</v>
      </c>
      <c r="Q295" s="1" t="s">
        <v>42</v>
      </c>
      <c r="S295" s="1" t="s">
        <v>42</v>
      </c>
      <c r="T295" s="1" t="s">
        <v>188</v>
      </c>
      <c r="U295" s="1">
        <v>28</v>
      </c>
      <c r="V295" s="5">
        <v>44422</v>
      </c>
      <c r="W295" s="5">
        <v>44334</v>
      </c>
      <c r="X295" s="1">
        <v>8900000</v>
      </c>
      <c r="Z295" s="5">
        <v>44363</v>
      </c>
      <c r="AB295" s="1" t="s">
        <v>44</v>
      </c>
      <c r="AF295" s="1">
        <v>10021</v>
      </c>
      <c r="AI295" s="1" t="s">
        <v>180</v>
      </c>
      <c r="AJ295" s="1">
        <v>1930</v>
      </c>
      <c r="AK295" s="1" t="s">
        <v>55</v>
      </c>
      <c r="AL295" s="1">
        <v>6</v>
      </c>
    </row>
    <row r="296" spans="1:38" x14ac:dyDescent="0.2">
      <c r="A296" s="2" t="str">
        <f>HYPERLINK("https://www.compass.com/listing/225-west-86th-street-unit-601-manhattan-ny-10024/786142117923201225/","225 W 86th St, Unit 601")</f>
        <v>225 W 86th St, Unit 601</v>
      </c>
      <c r="B296" s="2" t="str">
        <f>HYPERLINK("https://www.compass.com/building/the-belnord-manhattan-ny/292869672083214101/","The Belnord")</f>
        <v>The Belnord</v>
      </c>
      <c r="C296" s="1" t="s">
        <v>47</v>
      </c>
      <c r="D296" s="1" t="s">
        <v>41</v>
      </c>
      <c r="E296" s="3">
        <v>5195000</v>
      </c>
      <c r="F296" s="1">
        <v>2358.14798002723</v>
      </c>
      <c r="G296" s="1">
        <v>5</v>
      </c>
      <c r="H296" s="1">
        <v>3</v>
      </c>
      <c r="I296" s="1">
        <v>2</v>
      </c>
      <c r="J296" s="1">
        <v>2</v>
      </c>
      <c r="K296" s="1">
        <v>2</v>
      </c>
      <c r="M296" s="4">
        <v>2203</v>
      </c>
      <c r="N296" s="1">
        <v>1905</v>
      </c>
      <c r="O296" s="1">
        <v>5391</v>
      </c>
      <c r="P296" s="1">
        <v>3486</v>
      </c>
      <c r="Q296" s="1" t="s">
        <v>42</v>
      </c>
      <c r="S296" s="1" t="s">
        <v>42</v>
      </c>
      <c r="T296" s="1" t="s">
        <v>188</v>
      </c>
      <c r="U296" s="1">
        <v>78</v>
      </c>
      <c r="V296" s="5">
        <v>44415</v>
      </c>
      <c r="W296" s="5">
        <v>44336</v>
      </c>
      <c r="X296" s="1">
        <v>1</v>
      </c>
      <c r="Z296" s="5">
        <v>44415</v>
      </c>
      <c r="AB296" s="1" t="s">
        <v>44</v>
      </c>
      <c r="AF296" s="1">
        <v>10024</v>
      </c>
      <c r="AI296" s="1" t="s">
        <v>67</v>
      </c>
      <c r="AJ296" s="1">
        <v>1908</v>
      </c>
      <c r="AK296" s="1" t="s">
        <v>81</v>
      </c>
      <c r="AL296" s="1">
        <v>213</v>
      </c>
    </row>
    <row r="297" spans="1:38" x14ac:dyDescent="0.2">
      <c r="A297" s="2" t="str">
        <f>HYPERLINK("https://www.compass.com/listing/32-east-1st-street-unit-phb-manhattan-ny-10003/786256839904698777/","32 E 1st St, Unit PHB")</f>
        <v>32 E 1st St, Unit PHB</v>
      </c>
      <c r="B297" s="2" t="str">
        <f t="shared" ref="B297:B298" si="47">HYPERLINK("https://www.compass.com/building/32-east-1st-street-manhattan-ny/292783157810310133/","32 East 1st Street")</f>
        <v>32 East 1st Street</v>
      </c>
      <c r="C297" s="1" t="s">
        <v>88</v>
      </c>
      <c r="D297" s="1" t="s">
        <v>41</v>
      </c>
      <c r="E297" s="3">
        <v>8700000</v>
      </c>
      <c r="F297" s="1">
        <v>3145.3362255965199</v>
      </c>
      <c r="G297" s="1">
        <v>6</v>
      </c>
      <c r="H297" s="1">
        <v>3</v>
      </c>
      <c r="I297" s="1">
        <v>3</v>
      </c>
      <c r="J297" s="1">
        <v>3</v>
      </c>
      <c r="K297" s="1">
        <v>3</v>
      </c>
      <c r="M297" s="4">
        <v>2766</v>
      </c>
      <c r="N297" s="1">
        <v>4244</v>
      </c>
      <c r="O297" s="1">
        <v>10679</v>
      </c>
      <c r="P297" s="1">
        <v>6435</v>
      </c>
      <c r="Q297" s="1" t="s">
        <v>42</v>
      </c>
      <c r="S297" s="1" t="s">
        <v>42</v>
      </c>
      <c r="T297" s="1" t="s">
        <v>188</v>
      </c>
      <c r="U297" s="1">
        <v>42</v>
      </c>
      <c r="V297" s="5">
        <v>44427</v>
      </c>
      <c r="W297" s="5">
        <v>44335</v>
      </c>
      <c r="X297" s="1">
        <v>8700000</v>
      </c>
      <c r="Z297" s="5">
        <v>44378</v>
      </c>
      <c r="AB297" s="1" t="s">
        <v>44</v>
      </c>
      <c r="AF297" s="1">
        <v>10003</v>
      </c>
      <c r="AI297" s="1" t="s">
        <v>108</v>
      </c>
      <c r="AJ297" s="1">
        <v>2019</v>
      </c>
      <c r="AK297" s="1" t="s">
        <v>87</v>
      </c>
      <c r="AL297" s="1">
        <v>30</v>
      </c>
    </row>
    <row r="298" spans="1:38" x14ac:dyDescent="0.2">
      <c r="A298" s="2" t="str">
        <f>HYPERLINK("https://www.compass.com/listing/32-east-1st-street-unit-2c-manhattan-ny-10003/709542413948667249/","32 E 1st St, Unit 2C")</f>
        <v>32 E 1st St, Unit 2C</v>
      </c>
      <c r="B298" s="2" t="str">
        <f t="shared" si="47"/>
        <v>32 East 1st Street</v>
      </c>
      <c r="C298" s="1" t="s">
        <v>88</v>
      </c>
      <c r="D298" s="1" t="s">
        <v>41</v>
      </c>
      <c r="E298" s="3">
        <v>3495000</v>
      </c>
      <c r="F298" s="1">
        <v>2334.66933867735</v>
      </c>
      <c r="G298" s="1">
        <v>6</v>
      </c>
      <c r="H298" s="1">
        <v>3</v>
      </c>
      <c r="I298" s="1">
        <v>3</v>
      </c>
      <c r="J298" s="1">
        <v>3</v>
      </c>
      <c r="K298" s="1">
        <v>3</v>
      </c>
      <c r="M298" s="4">
        <v>1497</v>
      </c>
      <c r="N298" s="1">
        <v>1759</v>
      </c>
      <c r="O298" s="1">
        <v>4429</v>
      </c>
      <c r="P298" s="1">
        <v>2670</v>
      </c>
      <c r="Q298" s="1" t="s">
        <v>42</v>
      </c>
      <c r="S298" s="1" t="s">
        <v>42</v>
      </c>
      <c r="T298" s="1" t="s">
        <v>188</v>
      </c>
      <c r="U298" s="1">
        <v>188</v>
      </c>
      <c r="V298" s="5">
        <v>44419</v>
      </c>
      <c r="W298" s="5">
        <v>44230</v>
      </c>
      <c r="X298" s="1">
        <v>3495000</v>
      </c>
      <c r="Z298" s="5">
        <v>44419</v>
      </c>
      <c r="AB298" s="1" t="s">
        <v>44</v>
      </c>
      <c r="AF298" s="1">
        <v>10003</v>
      </c>
      <c r="AI298" s="1" t="s">
        <v>45</v>
      </c>
      <c r="AJ298" s="1">
        <v>2019</v>
      </c>
      <c r="AK298" s="1" t="s">
        <v>87</v>
      </c>
      <c r="AL298" s="1">
        <v>30</v>
      </c>
    </row>
    <row r="299" spans="1:38" x14ac:dyDescent="0.2">
      <c r="A299" s="2" t="str">
        <f>HYPERLINK("https://www.compass.com/listing/225-west-86th-street-unit-1109-manhattan-ny-10024/29508818215994625/","225 W 86th St, Unit 1109")</f>
        <v>225 W 86th St, Unit 1109</v>
      </c>
      <c r="B299" s="2" t="str">
        <f t="shared" ref="B299:B302" si="48">HYPERLINK("https://www.compass.com/building/the-belnord-manhattan-ny/292869672083214101/","The Belnord")</f>
        <v>The Belnord</v>
      </c>
      <c r="C299" s="1" t="s">
        <v>47</v>
      </c>
      <c r="D299" s="1" t="s">
        <v>41</v>
      </c>
      <c r="E299" s="3">
        <v>6600000</v>
      </c>
      <c r="F299" s="1">
        <v>2939.8663697104598</v>
      </c>
      <c r="G299" s="1">
        <v>7</v>
      </c>
      <c r="H299" s="1">
        <v>3</v>
      </c>
      <c r="I299" s="1">
        <v>3</v>
      </c>
      <c r="J299" s="1">
        <v>3</v>
      </c>
      <c r="K299" s="1">
        <v>3</v>
      </c>
      <c r="M299" s="4">
        <v>2245</v>
      </c>
      <c r="N299" s="1">
        <v>1942</v>
      </c>
      <c r="O299" s="1">
        <v>5612</v>
      </c>
      <c r="P299" s="1">
        <v>3670</v>
      </c>
      <c r="Q299" s="1" t="s">
        <v>42</v>
      </c>
      <c r="S299" s="1" t="s">
        <v>42</v>
      </c>
      <c r="T299" s="1" t="s">
        <v>188</v>
      </c>
      <c r="U299" s="1">
        <v>958</v>
      </c>
      <c r="V299" s="5">
        <v>44332</v>
      </c>
      <c r="W299" s="5">
        <v>43279</v>
      </c>
      <c r="X299" s="1">
        <v>6600000</v>
      </c>
      <c r="Z299" s="5">
        <v>44331</v>
      </c>
      <c r="AB299" s="1" t="s">
        <v>44</v>
      </c>
      <c r="AF299" s="1">
        <v>10024</v>
      </c>
      <c r="AI299" s="1" t="s">
        <v>67</v>
      </c>
      <c r="AJ299" s="1">
        <v>1908</v>
      </c>
      <c r="AK299" s="1" t="s">
        <v>81</v>
      </c>
      <c r="AL299" s="1">
        <v>213</v>
      </c>
    </row>
    <row r="300" spans="1:38" x14ac:dyDescent="0.2">
      <c r="A300" s="2" t="str">
        <f>HYPERLINK("https://www.compass.com/listing/225-west-86th-street-unit-517-manhattan-ny-10024/746320449671525129/","225 W 86th St, Unit 517")</f>
        <v>225 W 86th St, Unit 517</v>
      </c>
      <c r="B300" s="2" t="str">
        <f t="shared" si="48"/>
        <v>The Belnord</v>
      </c>
      <c r="C300" s="1" t="s">
        <v>47</v>
      </c>
      <c r="D300" s="1" t="s">
        <v>41</v>
      </c>
      <c r="E300" s="3">
        <v>12220000</v>
      </c>
      <c r="F300" s="1">
        <v>2719.7863342977898</v>
      </c>
      <c r="G300" s="1">
        <v>8</v>
      </c>
      <c r="H300" s="1">
        <v>6</v>
      </c>
      <c r="I300" s="1">
        <v>6</v>
      </c>
      <c r="J300" s="1">
        <v>5.5</v>
      </c>
      <c r="K300" s="1">
        <v>5</v>
      </c>
      <c r="L300" s="1">
        <v>1</v>
      </c>
      <c r="M300" s="4">
        <v>4493</v>
      </c>
      <c r="N300" s="1">
        <v>3886</v>
      </c>
      <c r="O300" s="1">
        <v>11068</v>
      </c>
      <c r="P300" s="1">
        <v>7182</v>
      </c>
      <c r="Q300" s="1" t="s">
        <v>42</v>
      </c>
      <c r="S300" s="1" t="s">
        <v>42</v>
      </c>
      <c r="T300" s="1" t="s">
        <v>188</v>
      </c>
      <c r="U300" s="1">
        <v>1</v>
      </c>
      <c r="V300" s="5">
        <v>44427</v>
      </c>
      <c r="W300" s="5">
        <v>44280</v>
      </c>
      <c r="X300" s="1">
        <v>1</v>
      </c>
      <c r="Z300" s="5">
        <v>44282</v>
      </c>
      <c r="AB300" s="1" t="s">
        <v>44</v>
      </c>
      <c r="AF300" s="1">
        <v>10024</v>
      </c>
      <c r="AI300" s="1" t="s">
        <v>67</v>
      </c>
      <c r="AJ300" s="1">
        <v>1908</v>
      </c>
      <c r="AK300" s="1" t="s">
        <v>50</v>
      </c>
      <c r="AL300" s="1">
        <v>213</v>
      </c>
    </row>
    <row r="301" spans="1:38" x14ac:dyDescent="0.2">
      <c r="A301" s="2" t="str">
        <f>HYPERLINK("https://www.compass.com/listing/225-west-86th-street-unit-217-manhattan-ny-10024/29638546209993521/","225 W 86th St, Unit 217")</f>
        <v>225 W 86th St, Unit 217</v>
      </c>
      <c r="B301" s="2" t="str">
        <f t="shared" si="48"/>
        <v>The Belnord</v>
      </c>
      <c r="C301" s="1" t="s">
        <v>47</v>
      </c>
      <c r="D301" s="1" t="s">
        <v>41</v>
      </c>
      <c r="E301" s="3">
        <v>12160000</v>
      </c>
      <c r="F301" s="1">
        <v>2714.2857142857101</v>
      </c>
      <c r="G301" s="1">
        <v>9</v>
      </c>
      <c r="H301" s="1">
        <v>4</v>
      </c>
      <c r="I301" s="1">
        <v>5</v>
      </c>
      <c r="J301" s="1">
        <v>4.5</v>
      </c>
      <c r="K301" s="1">
        <v>4</v>
      </c>
      <c r="L301" s="1">
        <v>1</v>
      </c>
      <c r="M301" s="4">
        <v>4480</v>
      </c>
      <c r="N301" s="1">
        <v>3776</v>
      </c>
      <c r="O301" s="1">
        <v>9666</v>
      </c>
      <c r="P301" s="1">
        <v>5890</v>
      </c>
      <c r="Q301" s="1" t="s">
        <v>42</v>
      </c>
      <c r="S301" s="1" t="s">
        <v>42</v>
      </c>
      <c r="T301" s="1" t="s">
        <v>188</v>
      </c>
      <c r="U301" s="1">
        <v>1</v>
      </c>
      <c r="V301" s="5">
        <v>44427</v>
      </c>
      <c r="W301" s="5">
        <v>43280</v>
      </c>
      <c r="X301" s="1">
        <v>12160000</v>
      </c>
      <c r="Z301" s="5">
        <v>43292</v>
      </c>
      <c r="AB301" s="1" t="s">
        <v>44</v>
      </c>
      <c r="AF301" s="1">
        <v>10024</v>
      </c>
      <c r="AI301" s="1" t="s">
        <v>67</v>
      </c>
      <c r="AJ301" s="1">
        <v>1908</v>
      </c>
      <c r="AK301" s="1" t="s">
        <v>50</v>
      </c>
      <c r="AL301" s="1">
        <v>213</v>
      </c>
    </row>
    <row r="302" spans="1:38" x14ac:dyDescent="0.2">
      <c r="A302" s="2" t="str">
        <f>HYPERLINK("https://www.compass.com/listing/225-west-86th-street-unit-901-manhattan-ny-10024/71661654013703137/","225 W 86th St, Unit 901")</f>
        <v>225 W 86th St, Unit 901</v>
      </c>
      <c r="B302" s="2" t="str">
        <f t="shared" si="48"/>
        <v>The Belnord</v>
      </c>
      <c r="C302" s="1" t="s">
        <v>47</v>
      </c>
      <c r="D302" s="1" t="s">
        <v>41</v>
      </c>
      <c r="E302" s="3">
        <v>14120000</v>
      </c>
      <c r="F302" s="1">
        <v>2937.38298314957</v>
      </c>
      <c r="G302" s="1">
        <v>7</v>
      </c>
      <c r="H302" s="1">
        <v>5</v>
      </c>
      <c r="I302" s="1">
        <v>7</v>
      </c>
      <c r="J302" s="1">
        <v>7</v>
      </c>
      <c r="K302" s="1">
        <v>7</v>
      </c>
      <c r="M302" s="4">
        <v>4807</v>
      </c>
      <c r="N302" s="1">
        <v>4158</v>
      </c>
      <c r="O302" s="1">
        <v>11484</v>
      </c>
      <c r="P302" s="1">
        <v>7326</v>
      </c>
      <c r="Q302" s="1" t="s">
        <v>42</v>
      </c>
      <c r="S302" s="1" t="s">
        <v>42</v>
      </c>
      <c r="T302" s="1" t="s">
        <v>188</v>
      </c>
      <c r="U302" s="1">
        <v>10</v>
      </c>
      <c r="V302" s="5">
        <v>44329</v>
      </c>
      <c r="W302" s="5">
        <v>43340</v>
      </c>
      <c r="X302" s="1">
        <v>7350000</v>
      </c>
      <c r="Z302" s="5">
        <v>43351</v>
      </c>
      <c r="AB302" s="1" t="s">
        <v>44</v>
      </c>
      <c r="AF302" s="1">
        <v>10024</v>
      </c>
      <c r="AI302" s="1" t="s">
        <v>67</v>
      </c>
      <c r="AJ302" s="1">
        <v>1908</v>
      </c>
      <c r="AK302" s="1" t="s">
        <v>50</v>
      </c>
      <c r="AL302" s="1">
        <v>213</v>
      </c>
    </row>
    <row r="303" spans="1:38" x14ac:dyDescent="0.2">
      <c r="A303" s="2" t="str">
        <f>HYPERLINK("https://www.compass.com/listing/375-west-123rd-street-unit-6a-manhattan-ny-10027/839839950323914665/","375 W 123rd St, Unit 6A")</f>
        <v>375 W 123rd St, Unit 6A</v>
      </c>
      <c r="B303" s="2" t="str">
        <f>HYPERLINK("https://www.compass.com/building/99-morningside-manhattan-ny/281983676789660549/","99 Morningside")</f>
        <v>99 Morningside</v>
      </c>
      <c r="C303" s="1" t="s">
        <v>131</v>
      </c>
      <c r="D303" s="1" t="s">
        <v>41</v>
      </c>
      <c r="E303" s="3">
        <v>1685000</v>
      </c>
      <c r="F303" s="1">
        <v>1190.81272084805</v>
      </c>
      <c r="G303" s="1">
        <v>5</v>
      </c>
      <c r="H303" s="1">
        <v>3</v>
      </c>
      <c r="I303" s="1">
        <v>2</v>
      </c>
      <c r="J303" s="1">
        <v>2</v>
      </c>
      <c r="K303" s="1">
        <v>2</v>
      </c>
      <c r="M303" s="4">
        <v>1415</v>
      </c>
      <c r="N303" s="1">
        <v>1320</v>
      </c>
      <c r="O303" s="1">
        <v>2383</v>
      </c>
      <c r="P303" s="1">
        <v>1063</v>
      </c>
      <c r="Q303" s="1" t="s">
        <v>42</v>
      </c>
      <c r="S303" s="1" t="s">
        <v>42</v>
      </c>
      <c r="T303" s="1" t="s">
        <v>188</v>
      </c>
      <c r="U303" s="1">
        <v>14</v>
      </c>
      <c r="V303" s="5">
        <v>44425</v>
      </c>
      <c r="W303" s="5">
        <v>44410</v>
      </c>
      <c r="X303" s="1">
        <v>1685000</v>
      </c>
      <c r="Z303" s="5">
        <v>44425</v>
      </c>
      <c r="AB303" s="1" t="s">
        <v>44</v>
      </c>
      <c r="AF303" s="1">
        <v>10027</v>
      </c>
      <c r="AI303" s="1" t="s">
        <v>132</v>
      </c>
      <c r="AJ303" s="1">
        <v>2016</v>
      </c>
      <c r="AK303" s="1" t="s">
        <v>133</v>
      </c>
      <c r="AL303" s="1">
        <v>22</v>
      </c>
    </row>
    <row r="304" spans="1:38" x14ac:dyDescent="0.2">
      <c r="A304" s="2" t="str">
        <f>HYPERLINK("https://www.compass.com/listing/225-west-86th-street-unit-506-manhattan-ny-10024/741328654323529273/","225 W 86th St, Unit 506")</f>
        <v>225 W 86th St, Unit 506</v>
      </c>
      <c r="B304" s="2" t="str">
        <f>HYPERLINK("https://www.compass.com/building/the-belnord-manhattan-ny/292869672083214101/","The Belnord")</f>
        <v>The Belnord</v>
      </c>
      <c r="C304" s="1" t="s">
        <v>47</v>
      </c>
      <c r="D304" s="1" t="s">
        <v>41</v>
      </c>
      <c r="E304" s="3">
        <v>6970000</v>
      </c>
      <c r="F304" s="1">
        <v>2721.5931276844899</v>
      </c>
      <c r="G304" s="1">
        <v>6</v>
      </c>
      <c r="H304" s="1">
        <v>4</v>
      </c>
      <c r="I304" s="1">
        <v>4</v>
      </c>
      <c r="J304" s="1">
        <v>3.5</v>
      </c>
      <c r="K304" s="1">
        <v>3</v>
      </c>
      <c r="L304" s="1">
        <v>1</v>
      </c>
      <c r="M304" s="4">
        <v>2561</v>
      </c>
      <c r="N304" s="1">
        <v>2215</v>
      </c>
      <c r="O304" s="1">
        <v>6336</v>
      </c>
      <c r="P304" s="1">
        <v>4121</v>
      </c>
      <c r="Q304" s="1" t="s">
        <v>42</v>
      </c>
      <c r="S304" s="1" t="s">
        <v>42</v>
      </c>
      <c r="T304" s="1" t="s">
        <v>188</v>
      </c>
      <c r="U304" s="1">
        <v>1</v>
      </c>
      <c r="V304" s="5">
        <v>44427</v>
      </c>
      <c r="W304" s="5">
        <v>44273</v>
      </c>
      <c r="X304" s="1">
        <v>6970000</v>
      </c>
      <c r="Z304" s="5">
        <v>44275</v>
      </c>
      <c r="AB304" s="1" t="s">
        <v>44</v>
      </c>
      <c r="AF304" s="1">
        <v>10024</v>
      </c>
      <c r="AI304" s="1" t="s">
        <v>67</v>
      </c>
      <c r="AJ304" s="1">
        <v>1908</v>
      </c>
      <c r="AK304" s="1" t="s">
        <v>81</v>
      </c>
      <c r="AL304" s="1">
        <v>213</v>
      </c>
    </row>
    <row r="305" spans="1:38" x14ac:dyDescent="0.2">
      <c r="A305" s="2" t="str">
        <f>HYPERLINK("https://www.compass.com/listing/200-amsterdam-avenue-unit-5c-manhattan-ny-10023/338618571391027825/","200 Amsterdam Ave, Unit 5C")</f>
        <v>200 Amsterdam Ave, Unit 5C</v>
      </c>
      <c r="B305" s="2" t="str">
        <f>HYPERLINK("https://www.compass.com/building/200-amsterdam-manhattan-ny/344157234608153717/","200 Amsterdam")</f>
        <v>200 Amsterdam</v>
      </c>
      <c r="C305" s="1" t="s">
        <v>47</v>
      </c>
      <c r="D305" s="1" t="s">
        <v>41</v>
      </c>
      <c r="E305" s="3">
        <v>4920000</v>
      </c>
      <c r="F305" s="1">
        <v>2016.39344262295</v>
      </c>
      <c r="G305" s="1">
        <v>5.5</v>
      </c>
      <c r="H305" s="1">
        <v>3</v>
      </c>
      <c r="I305" s="1">
        <v>4</v>
      </c>
      <c r="J305" s="1">
        <v>3.5</v>
      </c>
      <c r="K305" s="1">
        <v>3</v>
      </c>
      <c r="L305" s="1">
        <v>1</v>
      </c>
      <c r="M305" s="4">
        <v>2440</v>
      </c>
      <c r="N305" s="1">
        <v>2405</v>
      </c>
      <c r="O305" s="1">
        <v>6186</v>
      </c>
      <c r="P305" s="1">
        <v>3781</v>
      </c>
      <c r="Q305" s="1" t="s">
        <v>42</v>
      </c>
      <c r="S305" s="1" t="s">
        <v>42</v>
      </c>
      <c r="T305" s="1" t="s">
        <v>188</v>
      </c>
      <c r="V305" s="5">
        <v>44386</v>
      </c>
      <c r="W305" s="5">
        <v>44385</v>
      </c>
      <c r="X305" s="1">
        <v>4920000</v>
      </c>
      <c r="Z305" s="5">
        <v>44386</v>
      </c>
      <c r="AB305" s="1" t="s">
        <v>44</v>
      </c>
      <c r="AF305" s="1">
        <v>10023</v>
      </c>
      <c r="AI305" s="1" t="s">
        <v>58</v>
      </c>
      <c r="AJ305" s="1">
        <v>2021</v>
      </c>
      <c r="AK305" s="1" t="s">
        <v>81</v>
      </c>
      <c r="AL305" s="1">
        <v>112</v>
      </c>
    </row>
    <row r="306" spans="1:38" x14ac:dyDescent="0.2">
      <c r="A306" s="2" t="str">
        <f>HYPERLINK("https://www.compass.com/listing/269-west-87th-street-unit-10a-manhattan-ny-10024/753695773617813761/","269 W 87th St, Unit 10A")</f>
        <v>269 W 87th St, Unit 10A</v>
      </c>
      <c r="B306" s="2" t="str">
        <f>HYPERLINK("https://www.compass.com/building/west-end-and-eighty-seven-manhattan-ny/282058755477110005/","West End and Eighty Seven")</f>
        <v>West End and Eighty Seven</v>
      </c>
      <c r="C306" s="1" t="s">
        <v>47</v>
      </c>
      <c r="D306" s="1" t="s">
        <v>41</v>
      </c>
      <c r="E306" s="3">
        <v>3240000</v>
      </c>
      <c r="F306" s="1">
        <v>1312.8038897893</v>
      </c>
      <c r="G306" s="1">
        <v>5</v>
      </c>
      <c r="H306" s="1">
        <v>3</v>
      </c>
      <c r="I306" s="1">
        <v>4</v>
      </c>
      <c r="J306" s="1">
        <v>3.5</v>
      </c>
      <c r="K306" s="1">
        <v>3</v>
      </c>
      <c r="L306" s="1">
        <v>1</v>
      </c>
      <c r="M306" s="4">
        <v>2468</v>
      </c>
      <c r="N306" s="1">
        <v>6644</v>
      </c>
      <c r="O306" s="1">
        <v>6644</v>
      </c>
      <c r="Q306" s="1" t="s">
        <v>109</v>
      </c>
      <c r="S306" s="1" t="s">
        <v>109</v>
      </c>
      <c r="T306" s="1" t="s">
        <v>188</v>
      </c>
      <c r="U306" s="1">
        <v>100</v>
      </c>
      <c r="V306" s="5">
        <v>44399</v>
      </c>
      <c r="W306" s="5">
        <v>44291</v>
      </c>
      <c r="X306" s="1">
        <v>3240000</v>
      </c>
      <c r="Z306" s="5">
        <v>44391</v>
      </c>
      <c r="AB306" s="1" t="s">
        <v>44</v>
      </c>
      <c r="AF306" s="1">
        <v>10024</v>
      </c>
      <c r="AI306" s="1" t="s">
        <v>67</v>
      </c>
      <c r="AJ306" s="1">
        <v>2018</v>
      </c>
      <c r="AK306" s="1" t="s">
        <v>81</v>
      </c>
      <c r="AL306" s="1">
        <v>39</v>
      </c>
    </row>
    <row r="307" spans="1:38" x14ac:dyDescent="0.2">
      <c r="A307" s="2" t="str">
        <f>HYPERLINK("https://www.compass.com/listing/555-west-end-avenue-unit-4w-manhattan-ny-10024/334014933729374161/","555 W End Ave, Unit 4W")</f>
        <v>555 W End Ave, Unit 4W</v>
      </c>
      <c r="B307" s="2" t="str">
        <f>HYPERLINK("https://www.compass.com/building/555-west-end-avenue-manhattan-ny/292874438096018885/","555 West End Avenue")</f>
        <v>555 West End Avenue</v>
      </c>
      <c r="C307" s="1" t="s">
        <v>47</v>
      </c>
      <c r="D307" s="1" t="s">
        <v>41</v>
      </c>
      <c r="E307" s="3">
        <v>8400000</v>
      </c>
      <c r="F307" s="1">
        <v>3092.7835051546299</v>
      </c>
      <c r="G307" s="1">
        <v>6</v>
      </c>
      <c r="H307" s="1">
        <v>4</v>
      </c>
      <c r="I307" s="1">
        <v>5</v>
      </c>
      <c r="J307" s="1">
        <v>4.5</v>
      </c>
      <c r="K307" s="1">
        <v>4</v>
      </c>
      <c r="L307" s="1">
        <v>1</v>
      </c>
      <c r="M307" s="4">
        <v>2716</v>
      </c>
      <c r="N307" s="1">
        <v>3735</v>
      </c>
      <c r="O307" s="1">
        <v>9697</v>
      </c>
      <c r="P307" s="1">
        <v>5962</v>
      </c>
      <c r="Q307" s="1" t="s">
        <v>42</v>
      </c>
      <c r="S307" s="1" t="s">
        <v>42</v>
      </c>
      <c r="T307" s="1" t="s">
        <v>188</v>
      </c>
      <c r="V307" s="5">
        <v>44425</v>
      </c>
      <c r="W307" s="5">
        <v>43713</v>
      </c>
      <c r="X307" s="1">
        <v>8400000</v>
      </c>
      <c r="Z307" s="5">
        <v>43713</v>
      </c>
      <c r="AB307" s="1" t="s">
        <v>44</v>
      </c>
      <c r="AF307" s="1">
        <v>10024</v>
      </c>
      <c r="AJ307" s="1">
        <v>2019</v>
      </c>
      <c r="AK307" s="1" t="s">
        <v>87</v>
      </c>
      <c r="AL307" s="1">
        <v>13</v>
      </c>
    </row>
    <row r="308" spans="1:38" x14ac:dyDescent="0.2">
      <c r="A308" s="2" t="str">
        <f>HYPERLINK("https://www.compass.com/listing/200-amsterdam-avenue-unit-33a-manhattan-ny-10023/815974142881028465/","200 Amsterdam Ave, Unit 33A")</f>
        <v>200 Amsterdam Ave, Unit 33A</v>
      </c>
      <c r="B308" s="2" t="str">
        <f t="shared" ref="B308:B309" si="49">HYPERLINK("https://www.compass.com/building/200-amsterdam-manhattan-ny/344157234608153717/","200 Amsterdam")</f>
        <v>200 Amsterdam</v>
      </c>
      <c r="C308" s="1" t="s">
        <v>47</v>
      </c>
      <c r="D308" s="1" t="s">
        <v>41</v>
      </c>
      <c r="E308" s="3">
        <v>14000000</v>
      </c>
      <c r="F308" s="1">
        <v>4391.4680050188199</v>
      </c>
      <c r="G308" s="1">
        <v>6.5</v>
      </c>
      <c r="H308" s="1">
        <v>4</v>
      </c>
      <c r="I308" s="1">
        <v>5</v>
      </c>
      <c r="J308" s="1">
        <v>4.5</v>
      </c>
      <c r="K308" s="1">
        <v>4</v>
      </c>
      <c r="L308" s="1">
        <v>1</v>
      </c>
      <c r="M308" s="4">
        <v>3188</v>
      </c>
      <c r="N308" s="1">
        <v>3953</v>
      </c>
      <c r="O308" s="1">
        <v>10169</v>
      </c>
      <c r="P308" s="1">
        <v>6216</v>
      </c>
      <c r="Q308" s="1" t="s">
        <v>42</v>
      </c>
      <c r="S308" s="1" t="s">
        <v>42</v>
      </c>
      <c r="T308" s="1" t="s">
        <v>188</v>
      </c>
      <c r="V308" s="5">
        <v>44378</v>
      </c>
      <c r="W308" s="5">
        <v>44377</v>
      </c>
      <c r="X308" s="1">
        <v>14000000</v>
      </c>
      <c r="Z308" s="5">
        <v>44378</v>
      </c>
      <c r="AB308" s="1" t="s">
        <v>44</v>
      </c>
      <c r="AF308" s="1">
        <v>10023</v>
      </c>
      <c r="AI308" s="1" t="s">
        <v>98</v>
      </c>
      <c r="AJ308" s="1">
        <v>2021</v>
      </c>
      <c r="AK308" s="1" t="s">
        <v>81</v>
      </c>
      <c r="AL308" s="1">
        <v>112</v>
      </c>
    </row>
    <row r="309" spans="1:38" x14ac:dyDescent="0.2">
      <c r="A309" s="2" t="str">
        <f>HYPERLINK("https://www.compass.com/listing/200-amsterdam-avenue-unit-22c-manhattan-ny-10023/807122176999678057/","200 Amsterdam Ave, Unit 22C")</f>
        <v>200 Amsterdam Ave, Unit 22C</v>
      </c>
      <c r="B309" s="2" t="str">
        <f t="shared" si="49"/>
        <v>200 Amsterdam</v>
      </c>
      <c r="C309" s="1" t="s">
        <v>47</v>
      </c>
      <c r="D309" s="1" t="s">
        <v>41</v>
      </c>
      <c r="E309" s="3">
        <v>3150000</v>
      </c>
      <c r="F309" s="1">
        <v>2441.86046511627</v>
      </c>
      <c r="G309" s="1">
        <v>3</v>
      </c>
      <c r="H309" s="1">
        <v>1</v>
      </c>
      <c r="I309" s="1">
        <v>2</v>
      </c>
      <c r="J309" s="1">
        <v>2</v>
      </c>
      <c r="K309" s="1">
        <v>2</v>
      </c>
      <c r="M309" s="4">
        <v>1290</v>
      </c>
      <c r="N309" s="1">
        <v>1588</v>
      </c>
      <c r="O309" s="1">
        <v>4085</v>
      </c>
      <c r="P309" s="1">
        <v>2497</v>
      </c>
      <c r="Q309" s="1" t="s">
        <v>42</v>
      </c>
      <c r="S309" s="1" t="s">
        <v>42</v>
      </c>
      <c r="T309" s="1" t="s">
        <v>188</v>
      </c>
      <c r="V309" s="5">
        <v>44426</v>
      </c>
      <c r="W309" s="5">
        <v>44365</v>
      </c>
      <c r="X309" s="1">
        <v>3150000</v>
      </c>
      <c r="Z309" s="5">
        <v>44365</v>
      </c>
      <c r="AB309" s="1" t="s">
        <v>44</v>
      </c>
      <c r="AF309" s="1">
        <v>10023</v>
      </c>
      <c r="AI309" s="1" t="s">
        <v>58</v>
      </c>
      <c r="AJ309" s="1">
        <v>2021</v>
      </c>
      <c r="AK309" s="1" t="s">
        <v>81</v>
      </c>
      <c r="AL309" s="1">
        <v>112</v>
      </c>
    </row>
    <row r="310" spans="1:38" x14ac:dyDescent="0.2">
      <c r="A310" s="2" t="str">
        <f>HYPERLINK("https://www.compass.com/listing/207-west-75th-street-unit-3-manhattan-ny-10023/281874850253964081/","207 W 75th St, Unit 3")</f>
        <v>207 W 75th St, Unit 3</v>
      </c>
      <c r="B310" s="2" t="str">
        <f>HYPERLINK("https://www.compass.com/building/207-w-75th-st-manhattan-ny-10023/281958338252579269/","207 W 75th St")</f>
        <v>207 W 75th St</v>
      </c>
      <c r="C310" s="1" t="s">
        <v>47</v>
      </c>
      <c r="D310" s="1" t="s">
        <v>41</v>
      </c>
      <c r="E310" s="3">
        <v>3500000</v>
      </c>
      <c r="F310" s="1">
        <v>1820.0728029121101</v>
      </c>
      <c r="G310" s="1">
        <v>5</v>
      </c>
      <c r="H310" s="1">
        <v>3</v>
      </c>
      <c r="I310" s="1">
        <v>3</v>
      </c>
      <c r="J310" s="1">
        <v>3</v>
      </c>
      <c r="K310" s="1">
        <v>3</v>
      </c>
      <c r="M310" s="4">
        <v>1923</v>
      </c>
      <c r="N310" s="1">
        <v>620</v>
      </c>
      <c r="O310" s="1">
        <v>3415</v>
      </c>
      <c r="P310" s="1">
        <v>2795</v>
      </c>
      <c r="Q310" s="1" t="s">
        <v>42</v>
      </c>
      <c r="S310" s="1" t="s">
        <v>42</v>
      </c>
      <c r="T310" s="1" t="s">
        <v>188</v>
      </c>
      <c r="U310" s="1">
        <v>52</v>
      </c>
      <c r="V310" s="5">
        <v>44424</v>
      </c>
      <c r="W310" s="5">
        <v>43532</v>
      </c>
      <c r="Z310" s="5">
        <v>43587</v>
      </c>
      <c r="AB310" s="1" t="s">
        <v>44</v>
      </c>
      <c r="AF310" s="1">
        <v>10023</v>
      </c>
      <c r="AI310" s="1" t="s">
        <v>100</v>
      </c>
      <c r="AJ310" s="1">
        <v>2018</v>
      </c>
      <c r="AK310" s="1" t="s">
        <v>140</v>
      </c>
      <c r="AL310" s="1">
        <v>6</v>
      </c>
    </row>
    <row r="311" spans="1:38" x14ac:dyDescent="0.2">
      <c r="A311" s="2" t="str">
        <f>HYPERLINK("https://www.compass.com/listing/375-west-123rd-street-unit-5c-manhattan-ny-10027/839832468918227737/","375 W 123rd St, Unit 5C")</f>
        <v>375 W 123rd St, Unit 5C</v>
      </c>
      <c r="B311" s="2" t="str">
        <f>HYPERLINK("https://www.compass.com/building/99-morningside-manhattan-ny/281983676789660549/","99 Morningside")</f>
        <v>99 Morningside</v>
      </c>
      <c r="C311" s="1" t="s">
        <v>131</v>
      </c>
      <c r="D311" s="1" t="s">
        <v>41</v>
      </c>
      <c r="E311" s="3">
        <v>1475000</v>
      </c>
      <c r="F311" s="1">
        <v>1160.50354051927</v>
      </c>
      <c r="G311" s="1">
        <v>4</v>
      </c>
      <c r="H311" s="1">
        <v>2</v>
      </c>
      <c r="I311" s="1">
        <v>2</v>
      </c>
      <c r="J311" s="1">
        <v>2</v>
      </c>
      <c r="K311" s="1">
        <v>2</v>
      </c>
      <c r="M311" s="4">
        <v>1271</v>
      </c>
      <c r="N311" s="1">
        <v>1163</v>
      </c>
      <c r="O311" s="1">
        <v>1983</v>
      </c>
      <c r="P311" s="1">
        <v>820</v>
      </c>
      <c r="Q311" s="1" t="s">
        <v>42</v>
      </c>
      <c r="S311" s="1" t="s">
        <v>42</v>
      </c>
      <c r="T311" s="1" t="s">
        <v>188</v>
      </c>
      <c r="U311" s="1">
        <v>17</v>
      </c>
      <c r="V311" s="5">
        <v>44411</v>
      </c>
      <c r="W311" s="5">
        <v>44393</v>
      </c>
      <c r="X311" s="1">
        <v>1475000</v>
      </c>
      <c r="Z311" s="5">
        <v>44411</v>
      </c>
      <c r="AB311" s="1" t="s">
        <v>44</v>
      </c>
      <c r="AF311" s="1">
        <v>10027</v>
      </c>
      <c r="AI311" s="1" t="s">
        <v>132</v>
      </c>
      <c r="AJ311" s="1">
        <v>2016</v>
      </c>
      <c r="AK311" s="1" t="s">
        <v>133</v>
      </c>
      <c r="AL311" s="1">
        <v>22</v>
      </c>
    </row>
    <row r="312" spans="1:38" x14ac:dyDescent="0.2">
      <c r="A312" s="2" t="str">
        <f>HYPERLINK("https://www.compass.com/listing/200-amsterdam-avenue-unit-25c-manhattan-ny-10023/338618570996471377/","200 Amsterdam Ave, Unit 25C")</f>
        <v>200 Amsterdam Ave, Unit 25C</v>
      </c>
      <c r="B312" s="2" t="str">
        <f>HYPERLINK("https://www.compass.com/building/200-amsterdam-manhattan-ny/344157234608153717/","200 Amsterdam")</f>
        <v>200 Amsterdam</v>
      </c>
      <c r="C312" s="1" t="s">
        <v>47</v>
      </c>
      <c r="D312" s="1" t="s">
        <v>41</v>
      </c>
      <c r="E312" s="3">
        <v>6800000</v>
      </c>
      <c r="F312" s="1">
        <v>3250.4780114722698</v>
      </c>
      <c r="G312" s="1">
        <v>4</v>
      </c>
      <c r="H312" s="1">
        <v>2</v>
      </c>
      <c r="I312" s="1">
        <v>3</v>
      </c>
      <c r="J312" s="1">
        <v>2.5</v>
      </c>
      <c r="K312" s="1">
        <v>2</v>
      </c>
      <c r="L312" s="1">
        <v>1</v>
      </c>
      <c r="M312" s="4">
        <v>2092</v>
      </c>
      <c r="N312" s="1">
        <v>2336</v>
      </c>
      <c r="O312" s="1">
        <v>6009</v>
      </c>
      <c r="P312" s="1">
        <v>3673</v>
      </c>
      <c r="Q312" s="1" t="s">
        <v>42</v>
      </c>
      <c r="S312" s="1" t="s">
        <v>42</v>
      </c>
      <c r="T312" s="1" t="s">
        <v>188</v>
      </c>
      <c r="V312" s="5">
        <v>44426</v>
      </c>
      <c r="W312" s="5">
        <v>44365</v>
      </c>
      <c r="X312" s="1">
        <v>6800000</v>
      </c>
      <c r="Z312" s="5">
        <v>44365</v>
      </c>
      <c r="AB312" s="1" t="s">
        <v>44</v>
      </c>
      <c r="AF312" s="1">
        <v>10023</v>
      </c>
      <c r="AI312" s="1" t="s">
        <v>93</v>
      </c>
      <c r="AJ312" s="1">
        <v>2021</v>
      </c>
      <c r="AK312" s="1" t="s">
        <v>81</v>
      </c>
      <c r="AL312" s="1">
        <v>112</v>
      </c>
    </row>
    <row r="313" spans="1:38" x14ac:dyDescent="0.2">
      <c r="A313" s="2" t="str">
        <f>HYPERLINK("https://www.compass.com/listing/308-west-30th-street-unit-5f-manhattan-ny-10001/597700361320742761/","308 W 30th St, Unit 5F")</f>
        <v>308 W 30th St, Unit 5F</v>
      </c>
      <c r="B313" s="2" t="str">
        <f>HYPERLINK("https://www.compass.com/building/the-irvin-house-manhattan-ny/281883290133070869/","The Irvin House")</f>
        <v>The Irvin House</v>
      </c>
      <c r="C313" s="1" t="s">
        <v>62</v>
      </c>
      <c r="D313" s="1" t="s">
        <v>41</v>
      </c>
      <c r="E313" s="3">
        <v>749000</v>
      </c>
      <c r="G313" s="1">
        <v>4</v>
      </c>
      <c r="H313" s="1">
        <v>2</v>
      </c>
      <c r="I313" s="1">
        <v>1</v>
      </c>
      <c r="J313" s="1">
        <v>1</v>
      </c>
      <c r="K313" s="1">
        <v>1</v>
      </c>
      <c r="N313" s="1">
        <v>437</v>
      </c>
      <c r="O313" s="1">
        <v>1250</v>
      </c>
      <c r="P313" s="1">
        <v>813</v>
      </c>
      <c r="Q313" s="1" t="s">
        <v>42</v>
      </c>
      <c r="S313" s="1" t="s">
        <v>42</v>
      </c>
      <c r="T313" s="1" t="s">
        <v>188</v>
      </c>
      <c r="U313" s="1">
        <v>297</v>
      </c>
      <c r="V313" s="5">
        <v>44419</v>
      </c>
      <c r="W313" s="5">
        <v>44076</v>
      </c>
      <c r="X313" s="1">
        <v>795000</v>
      </c>
      <c r="Z313" s="5">
        <v>44408</v>
      </c>
      <c r="AB313" s="1" t="s">
        <v>44</v>
      </c>
      <c r="AF313" s="1">
        <v>10001</v>
      </c>
      <c r="AI313" s="1" t="s">
        <v>99</v>
      </c>
      <c r="AJ313" s="1">
        <v>1925</v>
      </c>
      <c r="AL313" s="1">
        <v>61</v>
      </c>
    </row>
    <row r="314" spans="1:38" x14ac:dyDescent="0.2">
      <c r="A314" s="2" t="str">
        <f>HYPERLINK("https://www.compass.com/listing/200-amsterdam-avenue-unit-22b-manhattan-ny-10023/802181736976646929/","200 Amsterdam Ave, Unit 22B")</f>
        <v>200 Amsterdam Ave, Unit 22B</v>
      </c>
      <c r="B314" s="2" t="str">
        <f t="shared" ref="B314:B321" si="50">HYPERLINK("https://www.compass.com/building/200-amsterdam-manhattan-ny/344157234608153717/","200 Amsterdam")</f>
        <v>200 Amsterdam</v>
      </c>
      <c r="C314" s="1" t="s">
        <v>47</v>
      </c>
      <c r="D314" s="1" t="s">
        <v>41</v>
      </c>
      <c r="E314" s="3">
        <v>5350000</v>
      </c>
      <c r="F314" s="1">
        <v>2501.1687704534802</v>
      </c>
      <c r="G314" s="1">
        <v>5</v>
      </c>
      <c r="H314" s="1">
        <v>2</v>
      </c>
      <c r="I314" s="1">
        <v>3</v>
      </c>
      <c r="J314" s="1">
        <v>2.5</v>
      </c>
      <c r="K314" s="1">
        <v>2</v>
      </c>
      <c r="L314" s="1">
        <v>1</v>
      </c>
      <c r="M314" s="4">
        <v>2139</v>
      </c>
      <c r="N314" s="1">
        <v>2207</v>
      </c>
      <c r="O314" s="1">
        <v>5677</v>
      </c>
      <c r="P314" s="1">
        <v>3470</v>
      </c>
      <c r="Q314" s="1" t="s">
        <v>42</v>
      </c>
      <c r="S314" s="1" t="s">
        <v>42</v>
      </c>
      <c r="T314" s="1" t="s">
        <v>188</v>
      </c>
      <c r="V314" s="5">
        <v>44419</v>
      </c>
      <c r="W314" s="5">
        <v>44358</v>
      </c>
      <c r="X314" s="1">
        <v>5350000</v>
      </c>
      <c r="Z314" s="5">
        <v>44359</v>
      </c>
      <c r="AB314" s="1" t="s">
        <v>44</v>
      </c>
      <c r="AF314" s="1">
        <v>10023</v>
      </c>
      <c r="AI314" s="1" t="s">
        <v>58</v>
      </c>
      <c r="AJ314" s="1">
        <v>2021</v>
      </c>
      <c r="AK314" s="1" t="s">
        <v>81</v>
      </c>
      <c r="AL314" s="1">
        <v>112</v>
      </c>
    </row>
    <row r="315" spans="1:38" x14ac:dyDescent="0.2">
      <c r="A315" s="2" t="str">
        <f>HYPERLINK("https://www.compass.com/listing/200-amsterdam-avenue-unit-32b-manhattan-ny-10023/802181747194142369/","200 Amsterdam Ave, Unit 32B")</f>
        <v>200 Amsterdam Ave, Unit 32B</v>
      </c>
      <c r="B315" s="2" t="str">
        <f t="shared" si="50"/>
        <v>200 Amsterdam</v>
      </c>
      <c r="C315" s="1" t="s">
        <v>47</v>
      </c>
      <c r="D315" s="1" t="s">
        <v>41</v>
      </c>
      <c r="E315" s="3">
        <v>9800000</v>
      </c>
      <c r="F315" s="1">
        <v>3660.8143444153902</v>
      </c>
      <c r="G315" s="1">
        <v>6</v>
      </c>
      <c r="H315" s="1">
        <v>3</v>
      </c>
      <c r="I315" s="1">
        <v>4</v>
      </c>
      <c r="J315" s="1">
        <v>3.5</v>
      </c>
      <c r="K315" s="1">
        <v>3</v>
      </c>
      <c r="L315" s="1">
        <v>1</v>
      </c>
      <c r="M315" s="4">
        <v>2677</v>
      </c>
      <c r="N315" s="1">
        <v>2982</v>
      </c>
      <c r="O315" s="1">
        <v>7670</v>
      </c>
      <c r="P315" s="1">
        <v>4688</v>
      </c>
      <c r="Q315" s="1" t="s">
        <v>42</v>
      </c>
      <c r="S315" s="1" t="s">
        <v>42</v>
      </c>
      <c r="T315" s="1" t="s">
        <v>188</v>
      </c>
      <c r="V315" s="5">
        <v>44419</v>
      </c>
      <c r="W315" s="5">
        <v>44358</v>
      </c>
      <c r="X315" s="1">
        <v>9800000</v>
      </c>
      <c r="Z315" s="5">
        <v>44359</v>
      </c>
      <c r="AB315" s="1" t="s">
        <v>44</v>
      </c>
      <c r="AF315" s="1">
        <v>10023</v>
      </c>
      <c r="AI315" s="1" t="s">
        <v>58</v>
      </c>
      <c r="AJ315" s="1">
        <v>2021</v>
      </c>
      <c r="AK315" s="1" t="s">
        <v>81</v>
      </c>
      <c r="AL315" s="1">
        <v>112</v>
      </c>
    </row>
    <row r="316" spans="1:38" x14ac:dyDescent="0.2">
      <c r="A316" s="2" t="str">
        <f>HYPERLINK("https://www.compass.com/listing/200-amsterdam-avenue-unit-31a-manhattan-ny-10023/797121370281158257/","200 Amsterdam Ave, Unit 31A")</f>
        <v>200 Amsterdam Ave, Unit 31A</v>
      </c>
      <c r="B316" s="2" t="str">
        <f t="shared" si="50"/>
        <v>200 Amsterdam</v>
      </c>
      <c r="C316" s="1" t="s">
        <v>47</v>
      </c>
      <c r="D316" s="1" t="s">
        <v>41</v>
      </c>
      <c r="E316" s="3">
        <v>15950000</v>
      </c>
      <c r="F316" s="1">
        <v>4047.1961431108798</v>
      </c>
      <c r="G316" s="1">
        <v>7</v>
      </c>
      <c r="H316" s="1">
        <v>5</v>
      </c>
      <c r="I316" s="1">
        <v>6</v>
      </c>
      <c r="J316" s="1">
        <v>5.5</v>
      </c>
      <c r="K316" s="1">
        <v>5</v>
      </c>
      <c r="L316" s="1">
        <v>1</v>
      </c>
      <c r="M316" s="4">
        <v>3941</v>
      </c>
      <c r="N316" s="1">
        <v>4721</v>
      </c>
      <c r="O316" s="1">
        <v>12144</v>
      </c>
      <c r="P316" s="1">
        <v>7423</v>
      </c>
      <c r="Q316" s="1" t="s">
        <v>42</v>
      </c>
      <c r="S316" s="1" t="s">
        <v>42</v>
      </c>
      <c r="T316" s="1" t="s">
        <v>188</v>
      </c>
      <c r="V316" s="5">
        <v>44412</v>
      </c>
      <c r="W316" s="5">
        <v>44351</v>
      </c>
      <c r="X316" s="1">
        <v>15950000</v>
      </c>
      <c r="Z316" s="5">
        <v>44352</v>
      </c>
      <c r="AB316" s="1" t="s">
        <v>44</v>
      </c>
      <c r="AF316" s="1">
        <v>10023</v>
      </c>
      <c r="AI316" s="1" t="s">
        <v>58</v>
      </c>
      <c r="AJ316" s="1">
        <v>2021</v>
      </c>
      <c r="AK316" s="1" t="s">
        <v>81</v>
      </c>
      <c r="AL316" s="1">
        <v>112</v>
      </c>
    </row>
    <row r="317" spans="1:38" x14ac:dyDescent="0.2">
      <c r="A317" s="2" t="str">
        <f>HYPERLINK("https://www.compass.com/listing/200-amsterdam-avenue-unit-19c-manhattan-ny-10023/753459040064653737/","200 Amsterdam Ave, Unit 19C")</f>
        <v>200 Amsterdam Ave, Unit 19C</v>
      </c>
      <c r="B317" s="2" t="str">
        <f t="shared" si="50"/>
        <v>200 Amsterdam</v>
      </c>
      <c r="C317" s="1" t="s">
        <v>47</v>
      </c>
      <c r="D317" s="1" t="s">
        <v>41</v>
      </c>
      <c r="E317" s="3">
        <v>3075000</v>
      </c>
      <c r="F317" s="1">
        <v>2383.72093023255</v>
      </c>
      <c r="G317" s="1">
        <v>3</v>
      </c>
      <c r="H317" s="1">
        <v>1</v>
      </c>
      <c r="I317" s="1">
        <v>2</v>
      </c>
      <c r="J317" s="1">
        <v>2</v>
      </c>
      <c r="K317" s="1">
        <v>2</v>
      </c>
      <c r="M317" s="4">
        <v>1290</v>
      </c>
      <c r="N317" s="1">
        <v>1560</v>
      </c>
      <c r="O317" s="1">
        <v>4013</v>
      </c>
      <c r="P317" s="1">
        <v>2453</v>
      </c>
      <c r="Q317" s="1" t="s">
        <v>42</v>
      </c>
      <c r="S317" s="1" t="s">
        <v>42</v>
      </c>
      <c r="T317" s="1" t="s">
        <v>188</v>
      </c>
      <c r="U317" s="1">
        <v>127</v>
      </c>
      <c r="V317" s="5">
        <v>44419</v>
      </c>
      <c r="W317" s="5">
        <v>44291</v>
      </c>
      <c r="X317" s="1">
        <v>3075000</v>
      </c>
      <c r="Z317" s="5">
        <v>44419</v>
      </c>
      <c r="AB317" s="1" t="s">
        <v>44</v>
      </c>
      <c r="AF317" s="1">
        <v>10023</v>
      </c>
      <c r="AI317" s="1" t="s">
        <v>58</v>
      </c>
      <c r="AJ317" s="1">
        <v>2021</v>
      </c>
      <c r="AK317" s="1" t="s">
        <v>81</v>
      </c>
      <c r="AL317" s="1">
        <v>112</v>
      </c>
    </row>
    <row r="318" spans="1:38" x14ac:dyDescent="0.2">
      <c r="A318" s="2" t="str">
        <f>HYPERLINK("https://www.compass.com/listing/200-amsterdam-avenue-unit-14c-manhattan-ny-10023/791261865056315521/","200 Amsterdam Ave, Unit 14C")</f>
        <v>200 Amsterdam Ave, Unit 14C</v>
      </c>
      <c r="B318" s="2" t="str">
        <f t="shared" si="50"/>
        <v>200 Amsterdam</v>
      </c>
      <c r="C318" s="1" t="s">
        <v>47</v>
      </c>
      <c r="D318" s="1" t="s">
        <v>41</v>
      </c>
      <c r="E318" s="3">
        <v>5500000</v>
      </c>
      <c r="F318" s="1">
        <v>2259.6548890714798</v>
      </c>
      <c r="G318" s="1">
        <v>5.5</v>
      </c>
      <c r="H318" s="1">
        <v>3</v>
      </c>
      <c r="I318" s="1">
        <v>4</v>
      </c>
      <c r="J318" s="1">
        <v>3.5</v>
      </c>
      <c r="K318" s="1">
        <v>3</v>
      </c>
      <c r="L318" s="1">
        <v>1</v>
      </c>
      <c r="M318" s="4">
        <v>2434</v>
      </c>
      <c r="N318" s="1">
        <v>2472</v>
      </c>
      <c r="O318" s="1">
        <v>5847</v>
      </c>
      <c r="P318" s="1">
        <v>3375</v>
      </c>
      <c r="Q318" s="1" t="s">
        <v>42</v>
      </c>
      <c r="S318" s="1" t="s">
        <v>42</v>
      </c>
      <c r="T318" s="1" t="s">
        <v>188</v>
      </c>
      <c r="V318" s="5">
        <v>44404</v>
      </c>
      <c r="W318" s="5">
        <v>44343</v>
      </c>
      <c r="X318" s="1">
        <v>5500000</v>
      </c>
      <c r="Z318" s="5">
        <v>44344</v>
      </c>
      <c r="AB318" s="1" t="s">
        <v>44</v>
      </c>
      <c r="AF318" s="1">
        <v>10023</v>
      </c>
      <c r="AI318" s="1" t="s">
        <v>58</v>
      </c>
      <c r="AJ318" s="1">
        <v>2021</v>
      </c>
      <c r="AK318" s="1" t="s">
        <v>81</v>
      </c>
      <c r="AL318" s="1">
        <v>112</v>
      </c>
    </row>
    <row r="319" spans="1:38" x14ac:dyDescent="0.2">
      <c r="A319" s="2" t="str">
        <f>HYPERLINK("https://www.compass.com/listing/200-amsterdam-avenue-unit-15b-manhattan-ny-10023/791262185429312409/","200 Amsterdam Ave, Unit 15B")</f>
        <v>200 Amsterdam Ave, Unit 15B</v>
      </c>
      <c r="B319" s="2" t="str">
        <f t="shared" si="50"/>
        <v>200 Amsterdam</v>
      </c>
      <c r="C319" s="1" t="s">
        <v>47</v>
      </c>
      <c r="D319" s="1" t="s">
        <v>41</v>
      </c>
      <c r="E319" s="3">
        <v>5750000</v>
      </c>
      <c r="F319" s="1">
        <v>2401.83792815371</v>
      </c>
      <c r="G319" s="1">
        <v>5.5</v>
      </c>
      <c r="H319" s="1">
        <v>3</v>
      </c>
      <c r="I319" s="1">
        <v>4</v>
      </c>
      <c r="J319" s="1">
        <v>3.5</v>
      </c>
      <c r="K319" s="1">
        <v>3</v>
      </c>
      <c r="L319" s="1">
        <v>1</v>
      </c>
      <c r="M319" s="4">
        <v>2394</v>
      </c>
      <c r="N319" s="1">
        <v>2224</v>
      </c>
      <c r="O319" s="1">
        <v>5706</v>
      </c>
      <c r="P319" s="1">
        <v>3482</v>
      </c>
      <c r="Q319" s="1" t="s">
        <v>42</v>
      </c>
      <c r="S319" s="1" t="s">
        <v>42</v>
      </c>
      <c r="T319" s="1" t="s">
        <v>188</v>
      </c>
      <c r="V319" s="5">
        <v>44404</v>
      </c>
      <c r="W319" s="5">
        <v>44343</v>
      </c>
      <c r="X319" s="1">
        <v>5750000</v>
      </c>
      <c r="Z319" s="5">
        <v>44344</v>
      </c>
      <c r="AB319" s="1" t="s">
        <v>44</v>
      </c>
      <c r="AF319" s="1">
        <v>10023</v>
      </c>
      <c r="AI319" s="1" t="s">
        <v>58</v>
      </c>
      <c r="AJ319" s="1">
        <v>2021</v>
      </c>
      <c r="AK319" s="1" t="s">
        <v>81</v>
      </c>
      <c r="AL319" s="1">
        <v>112</v>
      </c>
    </row>
    <row r="320" spans="1:38" x14ac:dyDescent="0.2">
      <c r="A320" s="2" t="str">
        <f>HYPERLINK("https://www.compass.com/listing/200-amsterdam-avenue-unit-5b-manhattan-ny-10023/338618570451503585/","200 Amsterdam Ave, Unit 5B")</f>
        <v>200 Amsterdam Ave, Unit 5B</v>
      </c>
      <c r="B320" s="2" t="str">
        <f t="shared" si="50"/>
        <v>200 Amsterdam</v>
      </c>
      <c r="C320" s="1" t="s">
        <v>47</v>
      </c>
      <c r="D320" s="1" t="s">
        <v>41</v>
      </c>
      <c r="E320" s="3">
        <v>3675000</v>
      </c>
      <c r="F320" s="1">
        <v>2024.7933884297499</v>
      </c>
      <c r="G320" s="1">
        <v>4.5</v>
      </c>
      <c r="H320" s="1">
        <v>2</v>
      </c>
      <c r="I320" s="1">
        <v>3</v>
      </c>
      <c r="J320" s="1">
        <v>2.5</v>
      </c>
      <c r="K320" s="1">
        <v>2</v>
      </c>
      <c r="L320" s="1">
        <v>1</v>
      </c>
      <c r="M320" s="4">
        <v>1815</v>
      </c>
      <c r="N320" s="1">
        <v>1569</v>
      </c>
      <c r="O320" s="1">
        <v>4026</v>
      </c>
      <c r="P320" s="1">
        <v>2457</v>
      </c>
      <c r="Q320" s="1" t="s">
        <v>42</v>
      </c>
      <c r="S320" s="1" t="s">
        <v>42</v>
      </c>
      <c r="T320" s="1" t="s">
        <v>188</v>
      </c>
      <c r="V320" s="5">
        <v>44375</v>
      </c>
      <c r="W320" s="5">
        <v>44314</v>
      </c>
      <c r="X320" s="1">
        <v>3675000</v>
      </c>
      <c r="Z320" s="5">
        <v>44315</v>
      </c>
      <c r="AB320" s="1" t="s">
        <v>44</v>
      </c>
      <c r="AF320" s="1">
        <v>10023</v>
      </c>
      <c r="AI320" s="1" t="s">
        <v>58</v>
      </c>
      <c r="AJ320" s="1">
        <v>2021</v>
      </c>
      <c r="AK320" s="1" t="s">
        <v>81</v>
      </c>
      <c r="AL320" s="1">
        <v>112</v>
      </c>
    </row>
    <row r="321" spans="1:38" x14ac:dyDescent="0.2">
      <c r="A321" s="2" t="str">
        <f>HYPERLINK("https://www.compass.com/listing/200-amsterdam-avenue-unit-22a-manhattan-ny-10023/775192043229202441/","200 Amsterdam Ave, Unit 22A")</f>
        <v>200 Amsterdam Ave, Unit 22A</v>
      </c>
      <c r="B321" s="2" t="str">
        <f t="shared" si="50"/>
        <v>200 Amsterdam</v>
      </c>
      <c r="C321" s="1" t="s">
        <v>47</v>
      </c>
      <c r="D321" s="1" t="s">
        <v>41</v>
      </c>
      <c r="E321" s="3">
        <v>4750000</v>
      </c>
      <c r="F321" s="1">
        <v>2685.1328434143502</v>
      </c>
      <c r="G321" s="1">
        <v>4.5</v>
      </c>
      <c r="H321" s="1">
        <v>2</v>
      </c>
      <c r="I321" s="1">
        <v>3</v>
      </c>
      <c r="J321" s="1">
        <v>2.5</v>
      </c>
      <c r="K321" s="1">
        <v>2</v>
      </c>
      <c r="L321" s="1">
        <v>1</v>
      </c>
      <c r="M321" s="4">
        <v>1769</v>
      </c>
      <c r="N321" s="1">
        <v>1635</v>
      </c>
      <c r="O321" s="1">
        <v>4195</v>
      </c>
      <c r="P321" s="1">
        <v>2560</v>
      </c>
      <c r="Q321" s="1" t="s">
        <v>42</v>
      </c>
      <c r="S321" s="1" t="s">
        <v>42</v>
      </c>
      <c r="T321" s="1" t="s">
        <v>188</v>
      </c>
      <c r="V321" s="5">
        <v>44382</v>
      </c>
      <c r="W321" s="5">
        <v>44321</v>
      </c>
      <c r="X321" s="1">
        <v>4750000</v>
      </c>
      <c r="Z321" s="5">
        <v>44321</v>
      </c>
      <c r="AB321" s="1" t="s">
        <v>44</v>
      </c>
      <c r="AF321" s="1">
        <v>10023</v>
      </c>
      <c r="AI321" s="1" t="s">
        <v>58</v>
      </c>
      <c r="AJ321" s="1">
        <v>2021</v>
      </c>
      <c r="AK321" s="1" t="s">
        <v>81</v>
      </c>
      <c r="AL321" s="1">
        <v>112</v>
      </c>
    </row>
    <row r="322" spans="1:38" x14ac:dyDescent="0.2">
      <c r="A322" s="2" t="str">
        <f>HYPERLINK("https://www.compass.com/listing/50-west-30th-street-unit-20a-manhattan-ny-10001/796703164022215601/","50 W 30th St, Unit 20A")</f>
        <v>50 W 30th St, Unit 20A</v>
      </c>
      <c r="B322" s="2" t="str">
        <f>HYPERLINK("https://www.compass.com/building/the-noma-manhattan-ny/282058879016139621/","The NOMA")</f>
        <v>The NOMA</v>
      </c>
      <c r="C322" s="1" t="s">
        <v>95</v>
      </c>
      <c r="D322" s="1" t="s">
        <v>41</v>
      </c>
      <c r="E322" s="3">
        <v>2595000</v>
      </c>
      <c r="F322" s="1">
        <v>1951.1278195488701</v>
      </c>
      <c r="G322" s="1">
        <v>4</v>
      </c>
      <c r="H322" s="1">
        <v>2</v>
      </c>
      <c r="I322" s="1">
        <v>2</v>
      </c>
      <c r="J322" s="1">
        <v>2</v>
      </c>
      <c r="K322" s="1">
        <v>2</v>
      </c>
      <c r="M322" s="4">
        <v>1330</v>
      </c>
      <c r="N322" s="1">
        <v>1626</v>
      </c>
      <c r="O322" s="1">
        <v>4182</v>
      </c>
      <c r="P322" s="1">
        <v>2556</v>
      </c>
      <c r="Q322" s="1" t="s">
        <v>42</v>
      </c>
      <c r="S322" s="1" t="s">
        <v>42</v>
      </c>
      <c r="T322" s="1" t="s">
        <v>188</v>
      </c>
      <c r="U322" s="1">
        <v>53</v>
      </c>
      <c r="V322" s="5">
        <v>44418</v>
      </c>
      <c r="W322" s="5">
        <v>44350</v>
      </c>
      <c r="X322" s="1">
        <v>2595000</v>
      </c>
      <c r="Z322" s="5">
        <v>44404</v>
      </c>
      <c r="AB322" s="1" t="s">
        <v>44</v>
      </c>
      <c r="AF322" s="1">
        <v>10001</v>
      </c>
      <c r="AI322" s="1" t="s">
        <v>45</v>
      </c>
      <c r="AJ322" s="1">
        <v>2017</v>
      </c>
      <c r="AK322" s="1" t="s">
        <v>87</v>
      </c>
      <c r="AL322" s="1">
        <v>55</v>
      </c>
    </row>
    <row r="323" spans="1:38" x14ac:dyDescent="0.2">
      <c r="A323" s="2" t="str">
        <f>HYPERLINK("https://www.compass.com/listing/200-amsterdam-avenue-unit-4b-manhattan-ny-10023/426793728834189889/","200 Amsterdam Ave, Unit 4B")</f>
        <v>200 Amsterdam Ave, Unit 4B</v>
      </c>
      <c r="B323" s="2" t="str">
        <f t="shared" ref="B323:B330" si="51">HYPERLINK("https://www.compass.com/building/200-amsterdam-manhattan-ny/344157234608153717/","200 Amsterdam")</f>
        <v>200 Amsterdam</v>
      </c>
      <c r="C323" s="1" t="s">
        <v>47</v>
      </c>
      <c r="D323" s="1" t="s">
        <v>41</v>
      </c>
      <c r="E323" s="3">
        <v>3650000</v>
      </c>
      <c r="F323" s="1">
        <v>2011.0192837465499</v>
      </c>
      <c r="G323" s="1">
        <v>4.5</v>
      </c>
      <c r="H323" s="1">
        <v>2</v>
      </c>
      <c r="I323" s="1">
        <v>3</v>
      </c>
      <c r="J323" s="1">
        <v>2.5</v>
      </c>
      <c r="K323" s="1">
        <v>2</v>
      </c>
      <c r="L323" s="1">
        <v>1</v>
      </c>
      <c r="M323" s="4">
        <v>1815</v>
      </c>
      <c r="N323" s="1">
        <v>1798</v>
      </c>
      <c r="O323" s="1">
        <v>4624</v>
      </c>
      <c r="P323" s="1">
        <v>2826</v>
      </c>
      <c r="Q323" s="1" t="s">
        <v>42</v>
      </c>
      <c r="S323" s="1" t="s">
        <v>42</v>
      </c>
      <c r="T323" s="1" t="s">
        <v>188</v>
      </c>
      <c r="U323" s="1">
        <v>112</v>
      </c>
      <c r="V323" s="5">
        <v>44404</v>
      </c>
      <c r="W323" s="5">
        <v>44291</v>
      </c>
      <c r="Z323" s="5">
        <v>44404</v>
      </c>
      <c r="AB323" s="1" t="s">
        <v>44</v>
      </c>
      <c r="AF323" s="1">
        <v>10023</v>
      </c>
      <c r="AI323" s="1" t="s">
        <v>58</v>
      </c>
      <c r="AJ323" s="1">
        <v>2021</v>
      </c>
      <c r="AK323" s="1" t="s">
        <v>81</v>
      </c>
      <c r="AL323" s="1">
        <v>112</v>
      </c>
    </row>
    <row r="324" spans="1:38" x14ac:dyDescent="0.2">
      <c r="A324" s="2" t="str">
        <f>HYPERLINK("https://www.compass.com/listing/200-amsterdam-avenue-unit-19a-manhattan-ny-10023/753487609348564025/","200 Amsterdam Ave, Unit 19A")</f>
        <v>200 Amsterdam Ave, Unit 19A</v>
      </c>
      <c r="B324" s="2" t="str">
        <f t="shared" si="51"/>
        <v>200 Amsterdam</v>
      </c>
      <c r="C324" s="1" t="s">
        <v>47</v>
      </c>
      <c r="D324" s="1" t="s">
        <v>41</v>
      </c>
      <c r="E324" s="3">
        <v>4500000</v>
      </c>
      <c r="F324" s="1">
        <v>2543.8100621820199</v>
      </c>
      <c r="G324" s="1">
        <v>4.5</v>
      </c>
      <c r="H324" s="1">
        <v>2</v>
      </c>
      <c r="I324" s="1">
        <v>3</v>
      </c>
      <c r="J324" s="1">
        <v>2.5</v>
      </c>
      <c r="K324" s="1">
        <v>2</v>
      </c>
      <c r="L324" s="1">
        <v>1</v>
      </c>
      <c r="M324" s="4">
        <v>1769</v>
      </c>
      <c r="N324" s="1">
        <v>1850</v>
      </c>
      <c r="O324" s="1">
        <v>4759</v>
      </c>
      <c r="P324" s="1">
        <v>2909</v>
      </c>
      <c r="Q324" s="1" t="s">
        <v>42</v>
      </c>
      <c r="S324" s="1" t="s">
        <v>42</v>
      </c>
      <c r="T324" s="1" t="s">
        <v>188</v>
      </c>
      <c r="U324" s="1">
        <v>92</v>
      </c>
      <c r="V324" s="5">
        <v>44384</v>
      </c>
      <c r="W324" s="5">
        <v>44291</v>
      </c>
      <c r="X324" s="1">
        <v>4500000</v>
      </c>
      <c r="Z324" s="5">
        <v>44384</v>
      </c>
      <c r="AB324" s="1" t="s">
        <v>44</v>
      </c>
      <c r="AF324" s="1">
        <v>10023</v>
      </c>
      <c r="AI324" s="1" t="s">
        <v>58</v>
      </c>
      <c r="AJ324" s="1">
        <v>2021</v>
      </c>
      <c r="AK324" s="1" t="s">
        <v>81</v>
      </c>
      <c r="AL324" s="1">
        <v>112</v>
      </c>
    </row>
    <row r="325" spans="1:38" x14ac:dyDescent="0.2">
      <c r="A325" s="2" t="str">
        <f>HYPERLINK("https://www.compass.com/listing/200-amsterdam-avenue-unit-30a-manhattan-ny-10023/338618572942628929/","200 Amsterdam Ave, Unit 30A")</f>
        <v>200 Amsterdam Ave, Unit 30A</v>
      </c>
      <c r="B325" s="2" t="str">
        <f t="shared" si="51"/>
        <v>200 Amsterdam</v>
      </c>
      <c r="C325" s="1" t="s">
        <v>47</v>
      </c>
      <c r="D325" s="1" t="s">
        <v>41</v>
      </c>
      <c r="E325" s="3">
        <v>11160000</v>
      </c>
      <c r="F325" s="1">
        <v>3245.12939808083</v>
      </c>
      <c r="G325" s="1">
        <v>6</v>
      </c>
      <c r="H325" s="1">
        <v>4</v>
      </c>
      <c r="I325" s="1">
        <v>5</v>
      </c>
      <c r="J325" s="1">
        <v>4.5</v>
      </c>
      <c r="K325" s="1">
        <v>4</v>
      </c>
      <c r="L325" s="1">
        <v>1</v>
      </c>
      <c r="M325" s="4">
        <v>3439</v>
      </c>
      <c r="N325" s="1">
        <v>3462</v>
      </c>
      <c r="O325" s="1">
        <v>8882</v>
      </c>
      <c r="P325" s="1">
        <v>5420</v>
      </c>
      <c r="Q325" s="1" t="s">
        <v>42</v>
      </c>
      <c r="S325" s="1" t="s">
        <v>42</v>
      </c>
      <c r="T325" s="1" t="s">
        <v>188</v>
      </c>
      <c r="V325" s="5">
        <v>44399</v>
      </c>
      <c r="W325" s="5">
        <v>44333</v>
      </c>
      <c r="X325" s="1">
        <v>11160000</v>
      </c>
      <c r="Z325" s="5">
        <v>44334</v>
      </c>
      <c r="AB325" s="1" t="s">
        <v>44</v>
      </c>
      <c r="AF325" s="1">
        <v>10023</v>
      </c>
      <c r="AI325" s="1" t="s">
        <v>58</v>
      </c>
      <c r="AJ325" s="1">
        <v>2021</v>
      </c>
      <c r="AK325" s="1" t="s">
        <v>81</v>
      </c>
      <c r="AL325" s="1">
        <v>112</v>
      </c>
    </row>
    <row r="326" spans="1:38" x14ac:dyDescent="0.2">
      <c r="A326" s="2" t="str">
        <f>HYPERLINK("https://www.compass.com/listing/200-amsterdam-avenue-unit-34a-manhattan-ny-10023/784118458403495921/","200 Amsterdam Ave, Unit 34A")</f>
        <v>200 Amsterdam Ave, Unit 34A</v>
      </c>
      <c r="B326" s="2" t="str">
        <f t="shared" si="51"/>
        <v>200 Amsterdam</v>
      </c>
      <c r="C326" s="1" t="s">
        <v>47</v>
      </c>
      <c r="D326" s="1" t="s">
        <v>41</v>
      </c>
      <c r="E326" s="3">
        <v>11240000</v>
      </c>
      <c r="F326" s="1">
        <v>3525.72145545796</v>
      </c>
      <c r="G326" s="1">
        <v>7</v>
      </c>
      <c r="H326" s="1">
        <v>4</v>
      </c>
      <c r="I326" s="1">
        <v>5</v>
      </c>
      <c r="J326" s="1">
        <v>4.5</v>
      </c>
      <c r="K326" s="1">
        <v>4</v>
      </c>
      <c r="L326" s="1">
        <v>1</v>
      </c>
      <c r="M326" s="4">
        <v>3188</v>
      </c>
      <c r="N326" s="1">
        <v>3314</v>
      </c>
      <c r="O326" s="1">
        <v>8503</v>
      </c>
      <c r="P326" s="1">
        <v>5189</v>
      </c>
      <c r="Q326" s="1" t="s">
        <v>42</v>
      </c>
      <c r="S326" s="1" t="s">
        <v>42</v>
      </c>
      <c r="T326" s="1" t="s">
        <v>188</v>
      </c>
      <c r="V326" s="5">
        <v>44399</v>
      </c>
      <c r="W326" s="5">
        <v>44333</v>
      </c>
      <c r="X326" s="1">
        <v>11240000</v>
      </c>
      <c r="Z326" s="5">
        <v>44334</v>
      </c>
      <c r="AB326" s="1" t="s">
        <v>44</v>
      </c>
      <c r="AF326" s="1">
        <v>10023</v>
      </c>
      <c r="AI326" s="1" t="s">
        <v>58</v>
      </c>
      <c r="AJ326" s="1">
        <v>2021</v>
      </c>
      <c r="AK326" s="1" t="s">
        <v>81</v>
      </c>
      <c r="AL326" s="1">
        <v>112</v>
      </c>
    </row>
    <row r="327" spans="1:38" x14ac:dyDescent="0.2">
      <c r="A327" s="2" t="str">
        <f>HYPERLINK("https://www.compass.com/listing/200-amsterdam-avenue-unit-36b-manhattan-ny-10023/771588209795166969/","200 Amsterdam Ave, Unit 36B")</f>
        <v>200 Amsterdam Ave, Unit 36B</v>
      </c>
      <c r="B327" s="2" t="str">
        <f t="shared" si="51"/>
        <v>200 Amsterdam</v>
      </c>
      <c r="C327" s="1" t="s">
        <v>47</v>
      </c>
      <c r="D327" s="1" t="s">
        <v>41</v>
      </c>
      <c r="E327" s="3">
        <v>9950000</v>
      </c>
      <c r="F327" s="1">
        <v>3696.1367013372901</v>
      </c>
      <c r="G327" s="1">
        <v>6</v>
      </c>
      <c r="H327" s="1">
        <v>3</v>
      </c>
      <c r="I327" s="1">
        <v>4</v>
      </c>
      <c r="J327" s="1">
        <v>3.5</v>
      </c>
      <c r="K327" s="1">
        <v>3</v>
      </c>
      <c r="L327" s="1">
        <v>1</v>
      </c>
      <c r="M327" s="4">
        <v>2692</v>
      </c>
      <c r="N327" s="1">
        <v>2668</v>
      </c>
      <c r="O327" s="1">
        <v>6845</v>
      </c>
      <c r="P327" s="1">
        <v>4177</v>
      </c>
      <c r="Q327" s="1" t="s">
        <v>42</v>
      </c>
      <c r="S327" s="1" t="s">
        <v>42</v>
      </c>
      <c r="T327" s="1" t="s">
        <v>188</v>
      </c>
      <c r="V327" s="5">
        <v>44377</v>
      </c>
      <c r="W327" s="5">
        <v>44316</v>
      </c>
      <c r="X327" s="1">
        <v>9950000</v>
      </c>
      <c r="Z327" s="5">
        <v>44316</v>
      </c>
      <c r="AB327" s="1" t="s">
        <v>44</v>
      </c>
      <c r="AF327" s="1">
        <v>10023</v>
      </c>
      <c r="AI327" s="1" t="s">
        <v>58</v>
      </c>
      <c r="AJ327" s="1">
        <v>2021</v>
      </c>
      <c r="AK327" s="1" t="s">
        <v>81</v>
      </c>
      <c r="AL327" s="1">
        <v>112</v>
      </c>
    </row>
    <row r="328" spans="1:38" x14ac:dyDescent="0.2">
      <c r="A328" s="2" t="str">
        <f>HYPERLINK("https://www.compass.com/listing/200-amsterdam-avenue-unit-38a-manhattan-ny-10023/338618572355718145/","200 Amsterdam Ave, Unit 38A")</f>
        <v>200 Amsterdam Ave, Unit 38A</v>
      </c>
      <c r="B328" s="2" t="str">
        <f t="shared" si="51"/>
        <v>200 Amsterdam</v>
      </c>
      <c r="C328" s="1" t="s">
        <v>47</v>
      </c>
      <c r="D328" s="1" t="s">
        <v>41</v>
      </c>
      <c r="E328" s="3">
        <v>10500000</v>
      </c>
      <c r="F328" s="1">
        <v>3920.8364451082898</v>
      </c>
      <c r="G328" s="1">
        <v>5</v>
      </c>
      <c r="H328" s="1">
        <v>3</v>
      </c>
      <c r="I328" s="1">
        <v>4</v>
      </c>
      <c r="J328" s="1">
        <v>3.5</v>
      </c>
      <c r="K328" s="1">
        <v>3</v>
      </c>
      <c r="L328" s="1">
        <v>1</v>
      </c>
      <c r="M328" s="4">
        <v>2678</v>
      </c>
      <c r="N328" s="1">
        <v>2765</v>
      </c>
      <c r="O328" s="1">
        <v>7095</v>
      </c>
      <c r="P328" s="1">
        <v>4330</v>
      </c>
      <c r="Q328" s="1" t="s">
        <v>42</v>
      </c>
      <c r="S328" s="1" t="s">
        <v>42</v>
      </c>
      <c r="T328" s="1" t="s">
        <v>188</v>
      </c>
      <c r="V328" s="5">
        <v>44377</v>
      </c>
      <c r="W328" s="5">
        <v>44316</v>
      </c>
      <c r="X328" s="1">
        <v>10500000</v>
      </c>
      <c r="Z328" s="5">
        <v>44316</v>
      </c>
      <c r="AB328" s="1" t="s">
        <v>44</v>
      </c>
      <c r="AF328" s="1">
        <v>10023</v>
      </c>
      <c r="AI328" s="1" t="s">
        <v>58</v>
      </c>
      <c r="AJ328" s="1">
        <v>2021</v>
      </c>
      <c r="AK328" s="1" t="s">
        <v>81</v>
      </c>
      <c r="AL328" s="1">
        <v>112</v>
      </c>
    </row>
    <row r="329" spans="1:38" x14ac:dyDescent="0.2">
      <c r="A329" s="2" t="str">
        <f>HYPERLINK("https://www.compass.com/listing/200-amsterdam-avenue-unit-19b-manhattan-ny-10023/338618570694616273/","200 Amsterdam Ave, Unit 19B")</f>
        <v>200 Amsterdam Ave, Unit 19B</v>
      </c>
      <c r="B329" s="2" t="str">
        <f t="shared" si="51"/>
        <v>200 Amsterdam</v>
      </c>
      <c r="C329" s="1" t="s">
        <v>47</v>
      </c>
      <c r="D329" s="1" t="s">
        <v>41</v>
      </c>
      <c r="E329" s="3">
        <v>5150000</v>
      </c>
      <c r="F329" s="1">
        <v>2407.6671341748402</v>
      </c>
      <c r="G329" s="1">
        <v>4</v>
      </c>
      <c r="H329" s="1">
        <v>2</v>
      </c>
      <c r="I329" s="1">
        <v>3</v>
      </c>
      <c r="J329" s="1">
        <v>2.5</v>
      </c>
      <c r="K329" s="1">
        <v>2</v>
      </c>
      <c r="L329" s="1">
        <v>1</v>
      </c>
      <c r="M329" s="4">
        <v>2139</v>
      </c>
      <c r="N329" s="1">
        <v>2179</v>
      </c>
      <c r="O329" s="1">
        <v>5606</v>
      </c>
      <c r="P329" s="1">
        <v>3427</v>
      </c>
      <c r="Q329" s="1" t="s">
        <v>42</v>
      </c>
      <c r="S329" s="1" t="s">
        <v>42</v>
      </c>
      <c r="T329" s="1" t="s">
        <v>188</v>
      </c>
      <c r="U329" s="1">
        <v>116</v>
      </c>
      <c r="V329" s="5">
        <v>44408</v>
      </c>
      <c r="W329" s="5">
        <v>44291</v>
      </c>
      <c r="Z329" s="5">
        <v>44408</v>
      </c>
      <c r="AB329" s="1" t="s">
        <v>44</v>
      </c>
      <c r="AF329" s="1">
        <v>10023</v>
      </c>
      <c r="AI329" s="1" t="s">
        <v>58</v>
      </c>
      <c r="AJ329" s="1">
        <v>2021</v>
      </c>
      <c r="AK329" s="1" t="s">
        <v>81</v>
      </c>
      <c r="AL329" s="1">
        <v>112</v>
      </c>
    </row>
    <row r="330" spans="1:38" x14ac:dyDescent="0.2">
      <c r="A330" s="2" t="str">
        <f>HYPERLINK("https://www.compass.com/listing/200-amsterdam-avenue-unit-4c-manhattan-ny-10023/434041381506337305/","200 Amsterdam Ave, Unit 4C")</f>
        <v>200 Amsterdam Ave, Unit 4C</v>
      </c>
      <c r="B330" s="2" t="str">
        <f t="shared" si="51"/>
        <v>200 Amsterdam</v>
      </c>
      <c r="C330" s="1" t="s">
        <v>47</v>
      </c>
      <c r="D330" s="1" t="s">
        <v>41</v>
      </c>
      <c r="E330" s="3">
        <v>4450000</v>
      </c>
      <c r="F330" s="1">
        <v>1823.77049180327</v>
      </c>
      <c r="G330" s="1">
        <v>5.5</v>
      </c>
      <c r="H330" s="1">
        <v>3</v>
      </c>
      <c r="I330" s="1">
        <v>4</v>
      </c>
      <c r="J330" s="1">
        <v>3.5</v>
      </c>
      <c r="K330" s="1">
        <v>3</v>
      </c>
      <c r="L330" s="1">
        <v>1</v>
      </c>
      <c r="M330" s="4">
        <v>2440</v>
      </c>
      <c r="N330" s="1">
        <v>2086</v>
      </c>
      <c r="O330" s="1">
        <v>5352</v>
      </c>
      <c r="P330" s="1">
        <v>3266</v>
      </c>
      <c r="Q330" s="1" t="s">
        <v>42</v>
      </c>
      <c r="S330" s="1" t="s">
        <v>42</v>
      </c>
      <c r="T330" s="1" t="s">
        <v>188</v>
      </c>
      <c r="U330" s="1">
        <v>16</v>
      </c>
      <c r="V330" s="5">
        <v>44368</v>
      </c>
      <c r="W330" s="5">
        <v>44291</v>
      </c>
      <c r="Z330" s="5">
        <v>44308</v>
      </c>
      <c r="AB330" s="1" t="s">
        <v>44</v>
      </c>
      <c r="AF330" s="1">
        <v>10023</v>
      </c>
      <c r="AI330" s="1" t="s">
        <v>58</v>
      </c>
      <c r="AJ330" s="1">
        <v>2021</v>
      </c>
      <c r="AK330" s="1" t="s">
        <v>81</v>
      </c>
      <c r="AL330" s="1">
        <v>112</v>
      </c>
    </row>
    <row r="331" spans="1:38" x14ac:dyDescent="0.2">
      <c r="A331" s="2" t="str">
        <f>HYPERLINK("https://www.compass.com/listing/50-west-30th-street-unit-13a-manhattan-ny-10001/677993416965259457/","50 W 30th St, Unit 13A")</f>
        <v>50 W 30th St, Unit 13A</v>
      </c>
      <c r="B331" s="2" t="str">
        <f>HYPERLINK("https://www.compass.com/building/the-noma-manhattan-ny/282058879016139621/","The NOMA")</f>
        <v>The NOMA</v>
      </c>
      <c r="C331" s="1" t="s">
        <v>95</v>
      </c>
      <c r="D331" s="1" t="s">
        <v>41</v>
      </c>
      <c r="E331" s="3">
        <v>2195000</v>
      </c>
      <c r="F331" s="1">
        <v>1733.8072669826199</v>
      </c>
      <c r="G331" s="1">
        <v>4.5</v>
      </c>
      <c r="H331" s="1">
        <v>2</v>
      </c>
      <c r="I331" s="1">
        <v>2</v>
      </c>
      <c r="J331" s="1">
        <v>2</v>
      </c>
      <c r="K331" s="1">
        <v>2</v>
      </c>
      <c r="M331" s="4">
        <v>1266</v>
      </c>
      <c r="N331" s="1">
        <v>1548</v>
      </c>
      <c r="O331" s="1">
        <v>3988</v>
      </c>
      <c r="P331" s="1">
        <v>2440</v>
      </c>
      <c r="Q331" s="1" t="s">
        <v>42</v>
      </c>
      <c r="S331" s="1" t="s">
        <v>42</v>
      </c>
      <c r="T331" s="1" t="s">
        <v>188</v>
      </c>
      <c r="U331" s="1">
        <v>84</v>
      </c>
      <c r="V331" s="5">
        <v>44420</v>
      </c>
      <c r="W331" s="5">
        <v>44335</v>
      </c>
      <c r="X331" s="1">
        <v>2195000</v>
      </c>
      <c r="Z331" s="5">
        <v>44419</v>
      </c>
      <c r="AB331" s="1" t="s">
        <v>44</v>
      </c>
      <c r="AF331" s="1">
        <v>10001</v>
      </c>
      <c r="AI331" s="1" t="s">
        <v>45</v>
      </c>
      <c r="AJ331" s="1">
        <v>2017</v>
      </c>
      <c r="AK331" s="1" t="s">
        <v>87</v>
      </c>
      <c r="AL331" s="1">
        <v>55</v>
      </c>
    </row>
    <row r="332" spans="1:38" x14ac:dyDescent="0.2">
      <c r="A332" s="2" t="str">
        <f>HYPERLINK("https://www.compass.com/listing/200-amsterdam-avenue-unit-27a-manhattan-ny-10023/775191996539054481/","200 Amsterdam Ave, Unit 27A")</f>
        <v>200 Amsterdam Ave, Unit 27A</v>
      </c>
      <c r="B332" s="2" t="str">
        <f t="shared" ref="B332:B334" si="52">HYPERLINK("https://www.compass.com/building/200-amsterdam-manhattan-ny/344157234608153717/","200 Amsterdam")</f>
        <v>200 Amsterdam</v>
      </c>
      <c r="C332" s="1" t="s">
        <v>47</v>
      </c>
      <c r="D332" s="1" t="s">
        <v>41</v>
      </c>
      <c r="E332" s="3">
        <v>8140000</v>
      </c>
      <c r="F332" s="1">
        <v>3144.0710699111601</v>
      </c>
      <c r="G332" s="1">
        <v>6.5</v>
      </c>
      <c r="H332" s="1">
        <v>4</v>
      </c>
      <c r="I332" s="1">
        <v>5</v>
      </c>
      <c r="J332" s="1">
        <v>4.5</v>
      </c>
      <c r="K332" s="1">
        <v>4</v>
      </c>
      <c r="L332" s="1">
        <v>1</v>
      </c>
      <c r="M332" s="4">
        <v>2589</v>
      </c>
      <c r="N332" s="1">
        <v>2577</v>
      </c>
      <c r="O332" s="1">
        <v>6612</v>
      </c>
      <c r="P332" s="1">
        <v>4035</v>
      </c>
      <c r="Q332" s="1" t="s">
        <v>42</v>
      </c>
      <c r="S332" s="1" t="s">
        <v>42</v>
      </c>
      <c r="T332" s="1" t="s">
        <v>188</v>
      </c>
      <c r="V332" s="5">
        <v>44382</v>
      </c>
      <c r="W332" s="5">
        <v>44321</v>
      </c>
      <c r="X332" s="1">
        <v>8140000</v>
      </c>
      <c r="Z332" s="5">
        <v>44321</v>
      </c>
      <c r="AB332" s="1" t="s">
        <v>44</v>
      </c>
      <c r="AF332" s="1">
        <v>10023</v>
      </c>
      <c r="AI332" s="1" t="s">
        <v>58</v>
      </c>
      <c r="AJ332" s="1">
        <v>2021</v>
      </c>
      <c r="AK332" s="1" t="s">
        <v>81</v>
      </c>
      <c r="AL332" s="1">
        <v>112</v>
      </c>
    </row>
    <row r="333" spans="1:38" x14ac:dyDescent="0.2">
      <c r="A333" s="2" t="str">
        <f>HYPERLINK("https://www.compass.com/listing/200-amsterdam-avenue-unit-17a-manhattan-ny-10023/773928306947077345/","200 Amsterdam Ave, Unit 17A")</f>
        <v>200 Amsterdam Ave, Unit 17A</v>
      </c>
      <c r="B333" s="2" t="str">
        <f t="shared" si="52"/>
        <v>200 Amsterdam</v>
      </c>
      <c r="C333" s="1" t="s">
        <v>47</v>
      </c>
      <c r="D333" s="1" t="s">
        <v>41</v>
      </c>
      <c r="E333" s="3">
        <v>7750000</v>
      </c>
      <c r="F333" s="1">
        <v>2713.5854341736599</v>
      </c>
      <c r="G333" s="1">
        <v>7</v>
      </c>
      <c r="H333" s="1">
        <v>4</v>
      </c>
      <c r="I333" s="1">
        <v>5</v>
      </c>
      <c r="J333" s="1">
        <v>4.5</v>
      </c>
      <c r="K333" s="1">
        <v>4</v>
      </c>
      <c r="L333" s="1">
        <v>1</v>
      </c>
      <c r="M333" s="4">
        <v>2856</v>
      </c>
      <c r="N333" s="1">
        <v>2628</v>
      </c>
      <c r="O333" s="1">
        <v>6743</v>
      </c>
      <c r="P333" s="1">
        <v>4115</v>
      </c>
      <c r="Q333" s="1" t="s">
        <v>42</v>
      </c>
      <c r="S333" s="1" t="s">
        <v>42</v>
      </c>
      <c r="T333" s="1" t="s">
        <v>188</v>
      </c>
      <c r="V333" s="5">
        <v>44380</v>
      </c>
      <c r="W333" s="5">
        <v>44319</v>
      </c>
      <c r="X333" s="1">
        <v>7750000</v>
      </c>
      <c r="Z333" s="5">
        <v>44320</v>
      </c>
      <c r="AB333" s="1" t="s">
        <v>44</v>
      </c>
      <c r="AF333" s="1">
        <v>10023</v>
      </c>
      <c r="AI333" s="1" t="s">
        <v>58</v>
      </c>
      <c r="AJ333" s="1">
        <v>2021</v>
      </c>
      <c r="AK333" s="1" t="s">
        <v>81</v>
      </c>
      <c r="AL333" s="1">
        <v>112</v>
      </c>
    </row>
    <row r="334" spans="1:38" x14ac:dyDescent="0.2">
      <c r="A334" s="2" t="str">
        <f>HYPERLINK("https://www.compass.com/listing/200-amsterdam-avenue-unit-47-manhattan-ny-10023/338618573966039393/","200 Amsterdam Ave, Unit 47")</f>
        <v>200 Amsterdam Ave, Unit 47</v>
      </c>
      <c r="B334" s="2" t="str">
        <f t="shared" si="52"/>
        <v>200 Amsterdam</v>
      </c>
      <c r="C334" s="1" t="s">
        <v>47</v>
      </c>
      <c r="D334" s="1" t="s">
        <v>41</v>
      </c>
      <c r="E334" s="3">
        <v>17500000</v>
      </c>
      <c r="F334" s="1">
        <v>4449.52962115433</v>
      </c>
      <c r="G334" s="1">
        <v>5</v>
      </c>
      <c r="H334" s="1">
        <v>3</v>
      </c>
      <c r="I334" s="1">
        <v>4</v>
      </c>
      <c r="J334" s="1">
        <v>4</v>
      </c>
      <c r="K334" s="1">
        <v>3</v>
      </c>
      <c r="L334" s="1">
        <v>2</v>
      </c>
      <c r="M334" s="4">
        <v>3933</v>
      </c>
      <c r="N334" s="1">
        <v>4783</v>
      </c>
      <c r="O334" s="1">
        <v>12272</v>
      </c>
      <c r="P334" s="1">
        <v>7489</v>
      </c>
      <c r="Q334" s="1" t="s">
        <v>42</v>
      </c>
      <c r="S334" s="1" t="s">
        <v>42</v>
      </c>
      <c r="T334" s="1" t="s">
        <v>188</v>
      </c>
      <c r="U334" s="1">
        <v>16</v>
      </c>
      <c r="V334" s="5">
        <v>44368</v>
      </c>
      <c r="W334" s="5">
        <v>44291</v>
      </c>
      <c r="X334" s="1">
        <v>17500000</v>
      </c>
      <c r="Z334" s="5">
        <v>44308</v>
      </c>
      <c r="AB334" s="1" t="s">
        <v>44</v>
      </c>
      <c r="AF334" s="1">
        <v>10023</v>
      </c>
      <c r="AI334" s="1" t="s">
        <v>134</v>
      </c>
      <c r="AJ334" s="1">
        <v>2021</v>
      </c>
      <c r="AK334" s="1" t="s">
        <v>81</v>
      </c>
      <c r="AL334" s="1">
        <v>112</v>
      </c>
    </row>
    <row r="335" spans="1:38" x14ac:dyDescent="0.2">
      <c r="A335" s="2" t="str">
        <f>HYPERLINK("https://www.compass.com/listing/375-west-123rd-street-unit-8a-manhattan-ny-10027/830380102144308409/","375 W 123rd St, Unit 8A")</f>
        <v>375 W 123rd St, Unit 8A</v>
      </c>
      <c r="B335" s="2" t="str">
        <f>HYPERLINK("https://www.compass.com/building/99-morningside-manhattan-ny/281983676789660549/","99 Morningside")</f>
        <v>99 Morningside</v>
      </c>
      <c r="C335" s="1" t="s">
        <v>131</v>
      </c>
      <c r="D335" s="1" t="s">
        <v>41</v>
      </c>
      <c r="E335" s="3">
        <v>1785000</v>
      </c>
      <c r="F335" s="1">
        <v>1210.9905020352701</v>
      </c>
      <c r="G335" s="1">
        <v>5</v>
      </c>
      <c r="H335" s="1">
        <v>3</v>
      </c>
      <c r="I335" s="1">
        <v>2</v>
      </c>
      <c r="J335" s="1">
        <v>2</v>
      </c>
      <c r="K335" s="1">
        <v>2</v>
      </c>
      <c r="M335" s="4">
        <v>1474</v>
      </c>
      <c r="N335" s="1">
        <v>1376</v>
      </c>
      <c r="O335" s="1">
        <v>2526</v>
      </c>
      <c r="P335" s="1">
        <v>1150</v>
      </c>
      <c r="Q335" s="1" t="s">
        <v>42</v>
      </c>
      <c r="S335" s="1" t="s">
        <v>42</v>
      </c>
      <c r="T335" s="1" t="s">
        <v>188</v>
      </c>
      <c r="U335" s="1">
        <v>9</v>
      </c>
      <c r="V335" s="5">
        <v>44407</v>
      </c>
      <c r="W335" s="5">
        <v>44397</v>
      </c>
      <c r="X335" s="1">
        <v>1785000</v>
      </c>
      <c r="Z335" s="5">
        <v>44407</v>
      </c>
      <c r="AB335" s="1" t="s">
        <v>44</v>
      </c>
      <c r="AF335" s="1">
        <v>10027</v>
      </c>
      <c r="AI335" s="1" t="s">
        <v>132</v>
      </c>
      <c r="AJ335" s="1">
        <v>2016</v>
      </c>
      <c r="AK335" s="1" t="s">
        <v>133</v>
      </c>
      <c r="AL335" s="1">
        <v>22</v>
      </c>
    </row>
    <row r="336" spans="1:38" x14ac:dyDescent="0.2">
      <c r="A336" s="2" t="str">
        <f>HYPERLINK("https://www.compass.com/listing/200-amsterdam-avenue-unit-32a-manhattan-ny-10023/753523761934513393/","200 Amsterdam Ave, Unit 32A")</f>
        <v>200 Amsterdam Ave, Unit 32A</v>
      </c>
      <c r="B336" s="2" t="str">
        <f t="shared" ref="B336:B337" si="53">HYPERLINK("https://www.compass.com/building/200-amsterdam-manhattan-ny/344157234608153717/","200 Amsterdam")</f>
        <v>200 Amsterdam</v>
      </c>
      <c r="C336" s="1" t="s">
        <v>47</v>
      </c>
      <c r="D336" s="1" t="s">
        <v>41</v>
      </c>
      <c r="E336" s="3">
        <v>12290000</v>
      </c>
      <c r="F336" s="1">
        <v>3423.3983286908001</v>
      </c>
      <c r="G336" s="1">
        <v>6.5</v>
      </c>
      <c r="H336" s="1">
        <v>4</v>
      </c>
      <c r="I336" s="1">
        <v>5</v>
      </c>
      <c r="J336" s="1">
        <v>4.5</v>
      </c>
      <c r="K336" s="1">
        <v>4</v>
      </c>
      <c r="L336" s="1">
        <v>1</v>
      </c>
      <c r="M336" s="4">
        <v>3590</v>
      </c>
      <c r="N336" s="1">
        <v>3616</v>
      </c>
      <c r="O336" s="1">
        <v>9279</v>
      </c>
      <c r="P336" s="1">
        <v>5663</v>
      </c>
      <c r="Q336" s="1" t="s">
        <v>42</v>
      </c>
      <c r="S336" s="1" t="s">
        <v>42</v>
      </c>
      <c r="T336" s="1" t="s">
        <v>188</v>
      </c>
      <c r="U336" s="1">
        <v>39</v>
      </c>
      <c r="V336" s="5">
        <v>44399</v>
      </c>
      <c r="W336" s="5">
        <v>44291</v>
      </c>
      <c r="X336" s="1">
        <v>12290000</v>
      </c>
      <c r="Z336" s="5">
        <v>44330</v>
      </c>
      <c r="AB336" s="1" t="s">
        <v>44</v>
      </c>
      <c r="AF336" s="1">
        <v>10023</v>
      </c>
      <c r="AI336" s="1" t="s">
        <v>58</v>
      </c>
      <c r="AJ336" s="1">
        <v>2021</v>
      </c>
      <c r="AK336" s="1" t="s">
        <v>81</v>
      </c>
      <c r="AL336" s="1">
        <v>112</v>
      </c>
    </row>
    <row r="337" spans="1:38" x14ac:dyDescent="0.2">
      <c r="A337" s="2" t="str">
        <f>HYPERLINK("https://www.compass.com/listing/200-amsterdam-avenue-unit-25a-manhattan-ny-10023/753555803497563609/","200 Amsterdam Ave, Unit 25A")</f>
        <v>200 Amsterdam Ave, Unit 25A</v>
      </c>
      <c r="B337" s="2" t="str">
        <f t="shared" si="53"/>
        <v>200 Amsterdam</v>
      </c>
      <c r="C337" s="1" t="s">
        <v>47</v>
      </c>
      <c r="D337" s="1" t="s">
        <v>41</v>
      </c>
      <c r="E337" s="3">
        <v>8700000</v>
      </c>
      <c r="F337" s="1">
        <v>3360.3707995364998</v>
      </c>
      <c r="G337" s="1">
        <v>6.5</v>
      </c>
      <c r="H337" s="1">
        <v>4</v>
      </c>
      <c r="I337" s="1">
        <v>5</v>
      </c>
      <c r="J337" s="1">
        <v>4.5</v>
      </c>
      <c r="K337" s="1">
        <v>4</v>
      </c>
      <c r="L337" s="1">
        <v>1</v>
      </c>
      <c r="M337" s="4">
        <v>2589</v>
      </c>
      <c r="N337" s="1">
        <v>2650</v>
      </c>
      <c r="O337" s="1">
        <v>6800</v>
      </c>
      <c r="P337" s="1">
        <v>4150</v>
      </c>
      <c r="Q337" s="1" t="s">
        <v>42</v>
      </c>
      <c r="S337" s="1" t="s">
        <v>42</v>
      </c>
      <c r="T337" s="1" t="s">
        <v>188</v>
      </c>
      <c r="U337" s="1">
        <v>38</v>
      </c>
      <c r="V337" s="5">
        <v>44390</v>
      </c>
      <c r="W337" s="5">
        <v>44291</v>
      </c>
      <c r="X337" s="1">
        <v>8700000</v>
      </c>
      <c r="Z337" s="5">
        <v>44329</v>
      </c>
      <c r="AB337" s="1" t="s">
        <v>44</v>
      </c>
      <c r="AF337" s="1">
        <v>10023</v>
      </c>
      <c r="AI337" s="1" t="s">
        <v>93</v>
      </c>
      <c r="AJ337" s="1">
        <v>2021</v>
      </c>
      <c r="AK337" s="1" t="s">
        <v>81</v>
      </c>
      <c r="AL337" s="1">
        <v>112</v>
      </c>
    </row>
    <row r="338" spans="1:38" x14ac:dyDescent="0.2">
      <c r="A338" s="2" t="str">
        <f>HYPERLINK("https://www.compass.com/listing/50-west-30th-street-unit-22b-manhattan-ny-10001/325340095955781153/","50 W 30th St, Unit 22B")</f>
        <v>50 W 30th St, Unit 22B</v>
      </c>
      <c r="B338" s="2" t="str">
        <f>HYPERLINK("https://www.compass.com/building/the-noma-manhattan-ny/282058879016139621/","The NOMA")</f>
        <v>The NOMA</v>
      </c>
      <c r="C338" s="1" t="s">
        <v>95</v>
      </c>
      <c r="D338" s="1" t="s">
        <v>41</v>
      </c>
      <c r="E338" s="3">
        <v>2895000</v>
      </c>
      <c r="F338" s="1">
        <v>2209.92366412213</v>
      </c>
      <c r="G338" s="1">
        <v>5</v>
      </c>
      <c r="H338" s="1">
        <v>2</v>
      </c>
      <c r="I338" s="1">
        <v>3</v>
      </c>
      <c r="J338" s="1">
        <v>2.5</v>
      </c>
      <c r="K338" s="1">
        <v>2</v>
      </c>
      <c r="L338" s="1">
        <v>1</v>
      </c>
      <c r="M338" s="4">
        <v>1310</v>
      </c>
      <c r="N338" s="1">
        <v>1630</v>
      </c>
      <c r="O338" s="1">
        <v>4200</v>
      </c>
      <c r="P338" s="1">
        <v>2570</v>
      </c>
      <c r="Q338" s="1" t="s">
        <v>42</v>
      </c>
      <c r="S338" s="1" t="s">
        <v>42</v>
      </c>
      <c r="T338" s="1" t="s">
        <v>188</v>
      </c>
      <c r="U338" s="1">
        <v>585</v>
      </c>
      <c r="V338" s="5">
        <v>44421</v>
      </c>
      <c r="W338" s="5">
        <v>43697</v>
      </c>
      <c r="X338" s="1">
        <v>2875000</v>
      </c>
      <c r="Z338" s="5">
        <v>44420</v>
      </c>
      <c r="AB338" s="1" t="s">
        <v>44</v>
      </c>
      <c r="AF338" s="1">
        <v>10001</v>
      </c>
      <c r="AI338" s="1" t="s">
        <v>127</v>
      </c>
      <c r="AJ338" s="1">
        <v>2017</v>
      </c>
      <c r="AK338" s="1" t="s">
        <v>81</v>
      </c>
      <c r="AL338" s="1">
        <v>55</v>
      </c>
    </row>
    <row r="339" spans="1:38" x14ac:dyDescent="0.2">
      <c r="A339" s="2" t="str">
        <f>HYPERLINK("https://www.compass.com/listing/200-east-62nd-street-unit-10c-manhattan-ny-10065/784094563503849953/","200 E 62nd St, Unit 10C")</f>
        <v>200 E 62nd St, Unit 10C</v>
      </c>
      <c r="B339" s="2" t="str">
        <f>HYPERLINK("https://www.compass.com/building/200-e-62-manhattan-ny/282037506914928197/","200 E 62")</f>
        <v>200 E 62</v>
      </c>
      <c r="C339" s="1" t="s">
        <v>53</v>
      </c>
      <c r="D339" s="1" t="s">
        <v>41</v>
      </c>
      <c r="E339" s="3">
        <v>1995000</v>
      </c>
      <c r="F339" s="1">
        <v>1742.35807860262</v>
      </c>
      <c r="G339" s="1">
        <v>3</v>
      </c>
      <c r="H339" s="1">
        <v>1</v>
      </c>
      <c r="I339" s="1">
        <v>2</v>
      </c>
      <c r="J339" s="1">
        <v>1.5</v>
      </c>
      <c r="K339" s="1">
        <v>1</v>
      </c>
      <c r="L339" s="1">
        <v>1</v>
      </c>
      <c r="M339" s="4">
        <v>1145</v>
      </c>
      <c r="N339" s="1">
        <v>1258</v>
      </c>
      <c r="O339" s="1">
        <v>2746</v>
      </c>
      <c r="P339" s="1">
        <v>1488</v>
      </c>
      <c r="Q339" s="1" t="s">
        <v>42</v>
      </c>
      <c r="S339" s="1" t="s">
        <v>42</v>
      </c>
      <c r="T339" s="1" t="s">
        <v>188</v>
      </c>
      <c r="U339" s="1">
        <v>72</v>
      </c>
      <c r="V339" s="5">
        <v>44420</v>
      </c>
      <c r="W339" s="5">
        <v>44333</v>
      </c>
      <c r="X339" s="1">
        <v>1995000</v>
      </c>
      <c r="Z339" s="5">
        <v>44406</v>
      </c>
      <c r="AB339" s="1" t="s">
        <v>44</v>
      </c>
      <c r="AF339" s="1">
        <v>10065</v>
      </c>
      <c r="AI339" s="1" t="s">
        <v>76</v>
      </c>
      <c r="AJ339" s="1">
        <v>1967</v>
      </c>
      <c r="AK339" s="1" t="s">
        <v>81</v>
      </c>
      <c r="AL339" s="1">
        <v>113</v>
      </c>
    </row>
    <row r="340" spans="1:38" x14ac:dyDescent="0.2">
      <c r="A340" s="2" t="str">
        <f>HYPERLINK("https://www.compass.com/listing/40-east-end-avenue-unit-6a-manhattan-ny-10028/570946009147216993/","40 E End Ave, Unit 6A")</f>
        <v>40 E End Ave, Unit 6A</v>
      </c>
      <c r="B340" s="2" t="str">
        <f>HYPERLINK("https://www.compass.com/building/40-e-end-ave-manhattan-ny-10028/281986569399806037/","40 E End Ave")</f>
        <v>40 E End Ave</v>
      </c>
      <c r="C340" s="1" t="s">
        <v>53</v>
      </c>
      <c r="D340" s="1" t="s">
        <v>41</v>
      </c>
      <c r="E340" s="3">
        <v>5185900</v>
      </c>
      <c r="F340" s="1">
        <v>2326.5589950650501</v>
      </c>
      <c r="G340" s="1">
        <v>5.5</v>
      </c>
      <c r="H340" s="1">
        <v>3</v>
      </c>
      <c r="I340" s="1">
        <v>4</v>
      </c>
      <c r="J340" s="1">
        <v>3.5</v>
      </c>
      <c r="K340" s="1">
        <v>3</v>
      </c>
      <c r="L340" s="1">
        <v>1</v>
      </c>
      <c r="M340" s="4">
        <v>2229</v>
      </c>
      <c r="N340" s="1">
        <v>2297</v>
      </c>
      <c r="O340" s="1">
        <v>5582</v>
      </c>
      <c r="P340" s="1">
        <v>3285</v>
      </c>
      <c r="Q340" s="1" t="s">
        <v>42</v>
      </c>
      <c r="S340" s="1" t="s">
        <v>42</v>
      </c>
      <c r="T340" s="1" t="s">
        <v>188</v>
      </c>
      <c r="U340" s="1">
        <v>372</v>
      </c>
      <c r="V340" s="5">
        <v>44426</v>
      </c>
      <c r="W340" s="5">
        <v>44039</v>
      </c>
      <c r="X340" s="1">
        <v>5355990</v>
      </c>
      <c r="Z340" s="5">
        <v>44412</v>
      </c>
      <c r="AB340" s="1" t="s">
        <v>44</v>
      </c>
      <c r="AF340" s="1">
        <v>10028</v>
      </c>
      <c r="AI340" s="1" t="s">
        <v>152</v>
      </c>
      <c r="AJ340" s="1">
        <v>2019</v>
      </c>
      <c r="AK340" s="1" t="s">
        <v>81</v>
      </c>
      <c r="AL340" s="1">
        <v>29</v>
      </c>
    </row>
    <row r="341" spans="1:38" x14ac:dyDescent="0.2">
      <c r="A341" s="2" t="str">
        <f>HYPERLINK("https://www.compass.com/listing/25-park-row-unit-34a-manhattan-ny-10038/841201746780558113/","25 Park Row, Unit 34A")</f>
        <v>25 Park Row, Unit 34A</v>
      </c>
      <c r="B341" s="2" t="str">
        <f>HYPERLINK("https://www.compass.com/building/25-park-row-manhattan-ny-10038/292920743539264837/","25 Park Row")</f>
        <v>25 Park Row</v>
      </c>
      <c r="C341" s="1" t="s">
        <v>155</v>
      </c>
      <c r="D341" s="1" t="s">
        <v>41</v>
      </c>
      <c r="E341" s="3">
        <v>4175000</v>
      </c>
      <c r="F341" s="1">
        <v>2585.1393188854399</v>
      </c>
      <c r="G341" s="1">
        <v>4.5</v>
      </c>
      <c r="H341" s="1">
        <v>2</v>
      </c>
      <c r="I341" s="1">
        <v>3</v>
      </c>
      <c r="J341" s="1">
        <v>2.5</v>
      </c>
      <c r="K341" s="1">
        <v>2</v>
      </c>
      <c r="L341" s="1">
        <v>1</v>
      </c>
      <c r="M341" s="4">
        <v>1615</v>
      </c>
      <c r="N341" s="1">
        <v>2391.5700000000002</v>
      </c>
      <c r="O341" s="1">
        <v>5976.03</v>
      </c>
      <c r="P341" s="1">
        <v>3584.5</v>
      </c>
      <c r="Q341" s="1" t="s">
        <v>42</v>
      </c>
      <c r="S341" s="1" t="s">
        <v>42</v>
      </c>
      <c r="T341" s="1" t="s">
        <v>188</v>
      </c>
      <c r="U341" s="1">
        <v>2</v>
      </c>
      <c r="V341" s="5">
        <v>44422</v>
      </c>
      <c r="W341" s="5">
        <v>44412</v>
      </c>
      <c r="X341" s="1">
        <v>4175000</v>
      </c>
      <c r="Z341" s="5">
        <v>44415</v>
      </c>
      <c r="AB341" s="1" t="s">
        <v>44</v>
      </c>
      <c r="AF341" s="1">
        <v>10038</v>
      </c>
      <c r="AI341" s="1" t="s">
        <v>174</v>
      </c>
      <c r="AJ341" s="1">
        <v>2019</v>
      </c>
      <c r="AK341" s="1" t="s">
        <v>87</v>
      </c>
      <c r="AL341" s="1">
        <v>110</v>
      </c>
    </row>
    <row r="342" spans="1:38" x14ac:dyDescent="0.2">
      <c r="A342" s="2" t="str">
        <f>HYPERLINK("https://www.compass.com/listing/40-east-end-avenue-unit-7a-manhattan-ny-10028/312987126186319137/","40 E End Ave, Unit 7A")</f>
        <v>40 E End Ave, Unit 7A</v>
      </c>
      <c r="B342" s="2" t="str">
        <f t="shared" ref="B342:B343" si="54">HYPERLINK("https://www.compass.com/building/40-e-end-ave-manhattan-ny-10028/281986569399806037/","40 E End Ave")</f>
        <v>40 E End Ave</v>
      </c>
      <c r="C342" s="1" t="s">
        <v>53</v>
      </c>
      <c r="D342" s="1" t="s">
        <v>41</v>
      </c>
      <c r="E342" s="3">
        <v>6585990</v>
      </c>
      <c r="F342" s="1">
        <v>2512.7775658145702</v>
      </c>
      <c r="G342" s="1">
        <v>6.5</v>
      </c>
      <c r="H342" s="1">
        <v>4</v>
      </c>
      <c r="I342" s="1">
        <v>4</v>
      </c>
      <c r="J342" s="1">
        <v>3.5</v>
      </c>
      <c r="K342" s="1">
        <v>3</v>
      </c>
      <c r="L342" s="1">
        <v>1</v>
      </c>
      <c r="M342" s="4">
        <v>2621</v>
      </c>
      <c r="N342" s="1">
        <v>2701</v>
      </c>
      <c r="O342" s="1">
        <v>6569</v>
      </c>
      <c r="P342" s="1">
        <v>3868</v>
      </c>
      <c r="Q342" s="1" t="s">
        <v>42</v>
      </c>
      <c r="S342" s="1" t="s">
        <v>42</v>
      </c>
      <c r="T342" s="1" t="s">
        <v>188</v>
      </c>
      <c r="U342" s="1">
        <v>630</v>
      </c>
      <c r="V342" s="5">
        <v>44422</v>
      </c>
      <c r="W342" s="5">
        <v>43683</v>
      </c>
      <c r="X342" s="1">
        <v>6875990</v>
      </c>
      <c r="Z342" s="5">
        <v>44408</v>
      </c>
      <c r="AB342" s="1" t="s">
        <v>44</v>
      </c>
      <c r="AF342" s="1">
        <v>10028</v>
      </c>
      <c r="AI342" s="1" t="s">
        <v>152</v>
      </c>
      <c r="AJ342" s="1">
        <v>2019</v>
      </c>
      <c r="AK342" s="1" t="s">
        <v>81</v>
      </c>
      <c r="AL342" s="1">
        <v>29</v>
      </c>
    </row>
    <row r="343" spans="1:38" x14ac:dyDescent="0.2">
      <c r="A343" s="2" t="str">
        <f>HYPERLINK("https://www.compass.com/listing/40-east-end-avenue-unit-pha-manhattan-ny-10028/759488809344502849/","40 E End Ave, Unit PHA")</f>
        <v>40 E End Ave, Unit PHA</v>
      </c>
      <c r="B343" s="2" t="str">
        <f t="shared" si="54"/>
        <v>40 E End Ave</v>
      </c>
      <c r="C343" s="1" t="s">
        <v>53</v>
      </c>
      <c r="D343" s="1" t="s">
        <v>41</v>
      </c>
      <c r="E343" s="3">
        <v>25500990</v>
      </c>
      <c r="F343" s="1">
        <v>4286.6011094301502</v>
      </c>
      <c r="G343" s="1">
        <v>9.5</v>
      </c>
      <c r="H343" s="1">
        <v>4</v>
      </c>
      <c r="I343" s="1">
        <v>5</v>
      </c>
      <c r="J343" s="1">
        <v>4.5</v>
      </c>
      <c r="K343" s="1">
        <v>4</v>
      </c>
      <c r="L343" s="1">
        <v>1</v>
      </c>
      <c r="M343" s="4">
        <v>5949</v>
      </c>
      <c r="N343" s="1">
        <v>6583</v>
      </c>
      <c r="O343" s="1">
        <v>15997</v>
      </c>
      <c r="P343" s="1">
        <v>9414</v>
      </c>
      <c r="Q343" s="1" t="s">
        <v>42</v>
      </c>
      <c r="S343" s="1" t="s">
        <v>42</v>
      </c>
      <c r="T343" s="1" t="s">
        <v>188</v>
      </c>
      <c r="U343" s="1">
        <v>99</v>
      </c>
      <c r="V343" s="5">
        <v>44413</v>
      </c>
      <c r="W343" s="5">
        <v>44299</v>
      </c>
      <c r="X343" s="1">
        <v>25500990</v>
      </c>
      <c r="Z343" s="5">
        <v>44398</v>
      </c>
      <c r="AB343" s="1" t="s">
        <v>44</v>
      </c>
      <c r="AF343" s="1">
        <v>10028</v>
      </c>
      <c r="AI343" s="1" t="s">
        <v>193</v>
      </c>
      <c r="AJ343" s="1">
        <v>2019</v>
      </c>
      <c r="AK343" s="1" t="s">
        <v>81</v>
      </c>
      <c r="AL343" s="1">
        <v>29</v>
      </c>
    </row>
    <row r="344" spans="1:38" x14ac:dyDescent="0.2">
      <c r="A344" s="2" t="str">
        <f>HYPERLINK("https://www.compass.com/listing/200-east-62nd-street-unit-25e-manhattan-ny-10065/330394553953695153/","200 E 62nd St, Unit 25E")</f>
        <v>200 E 62nd St, Unit 25E</v>
      </c>
      <c r="B344" s="2" t="str">
        <f>HYPERLINK("https://www.compass.com/building/200-e-62-manhattan-ny/282037506914928197/","200 E 62")</f>
        <v>200 E 62</v>
      </c>
      <c r="C344" s="1" t="s">
        <v>53</v>
      </c>
      <c r="D344" s="1" t="s">
        <v>41</v>
      </c>
      <c r="E344" s="3">
        <v>3785000</v>
      </c>
      <c r="F344" s="1">
        <v>1492.50788643533</v>
      </c>
      <c r="G344" s="1">
        <v>7.5</v>
      </c>
      <c r="H344" s="1">
        <v>4</v>
      </c>
      <c r="I344" s="1">
        <v>5</v>
      </c>
      <c r="J344" s="1">
        <v>4.5</v>
      </c>
      <c r="K344" s="1">
        <v>4</v>
      </c>
      <c r="L344" s="1">
        <v>1</v>
      </c>
      <c r="M344" s="4">
        <v>2536</v>
      </c>
      <c r="N344" s="1">
        <v>3108</v>
      </c>
      <c r="O344" s="1">
        <v>7575</v>
      </c>
      <c r="P344" s="1">
        <v>4467</v>
      </c>
      <c r="Q344" s="1" t="s">
        <v>42</v>
      </c>
      <c r="S344" s="1" t="s">
        <v>42</v>
      </c>
      <c r="T344" s="1" t="s">
        <v>188</v>
      </c>
      <c r="U344" s="1">
        <v>594</v>
      </c>
      <c r="V344" s="5">
        <v>44422</v>
      </c>
      <c r="W344" s="5">
        <v>43704</v>
      </c>
      <c r="X344" s="1">
        <v>3785000</v>
      </c>
      <c r="Z344" s="5">
        <v>44392</v>
      </c>
      <c r="AB344" s="1" t="s">
        <v>44</v>
      </c>
      <c r="AF344" s="1">
        <v>10065</v>
      </c>
      <c r="AI344" s="1" t="s">
        <v>76</v>
      </c>
      <c r="AJ344" s="1">
        <v>1967</v>
      </c>
      <c r="AK344" s="1" t="s">
        <v>81</v>
      </c>
      <c r="AL344" s="1">
        <v>113</v>
      </c>
    </row>
    <row r="345" spans="1:38" x14ac:dyDescent="0.2">
      <c r="A345" s="2" t="str">
        <f>HYPERLINK("https://www.compass.com/listing/131-west-122nd-street-unit-1a-manhattan-ny-10027/770919642521534025/","131 W 122nd St, Unit 1A")</f>
        <v>131 W 122nd St, Unit 1A</v>
      </c>
      <c r="B345" s="2" t="str">
        <f>HYPERLINK("https://www.compass.com/building/131-w-122nd-st-manhattan-ny-10027/281978369350923893/","131 W 122nd St")</f>
        <v>131 W 122nd St</v>
      </c>
      <c r="C345" s="1" t="s">
        <v>131</v>
      </c>
      <c r="D345" s="1" t="s">
        <v>41</v>
      </c>
      <c r="E345" s="3">
        <v>1599000</v>
      </c>
      <c r="F345" s="1">
        <v>1199.5498874718601</v>
      </c>
      <c r="G345" s="1">
        <v>5</v>
      </c>
      <c r="H345" s="1">
        <v>3</v>
      </c>
      <c r="I345" s="1">
        <v>2</v>
      </c>
      <c r="J345" s="1">
        <v>2</v>
      </c>
      <c r="K345" s="1">
        <v>2</v>
      </c>
      <c r="M345" s="4">
        <v>1333</v>
      </c>
      <c r="N345" s="1">
        <v>947</v>
      </c>
      <c r="O345" s="1">
        <v>1262</v>
      </c>
      <c r="P345" s="1">
        <v>315</v>
      </c>
      <c r="Q345" s="1" t="s">
        <v>42</v>
      </c>
      <c r="S345" s="1" t="s">
        <v>42</v>
      </c>
      <c r="T345" s="1" t="s">
        <v>188</v>
      </c>
      <c r="U345" s="1">
        <v>81</v>
      </c>
      <c r="V345" s="5">
        <v>44398</v>
      </c>
      <c r="W345" s="5">
        <v>44315</v>
      </c>
      <c r="X345" s="1">
        <v>1729000</v>
      </c>
      <c r="Z345" s="5">
        <v>44397</v>
      </c>
      <c r="AB345" s="1" t="s">
        <v>44</v>
      </c>
      <c r="AF345" s="1">
        <v>10027</v>
      </c>
      <c r="AI345" s="1" t="s">
        <v>194</v>
      </c>
      <c r="AJ345" s="1">
        <v>1910</v>
      </c>
      <c r="AL345" s="1">
        <v>10</v>
      </c>
    </row>
    <row r="346" spans="1:38" x14ac:dyDescent="0.2">
      <c r="A346" s="2" t="str">
        <f>HYPERLINK("https://www.compass.com/listing/375-west-123rd-street-unit-5b-manhattan-ny-10027/699187704312295745/","375 W 123rd St, Unit 5B")</f>
        <v>375 W 123rd St, Unit 5B</v>
      </c>
      <c r="B346" s="2" t="str">
        <f>HYPERLINK("https://www.compass.com/building/99-morningside-manhattan-ny/281983676789660549/","99 Morningside")</f>
        <v>99 Morningside</v>
      </c>
      <c r="C346" s="1" t="s">
        <v>131</v>
      </c>
      <c r="D346" s="1" t="s">
        <v>41</v>
      </c>
      <c r="E346" s="3">
        <v>1530000</v>
      </c>
      <c r="F346" s="1">
        <v>1200.94191522762</v>
      </c>
      <c r="G346" s="1">
        <v>4</v>
      </c>
      <c r="H346" s="1">
        <v>2</v>
      </c>
      <c r="I346" s="1">
        <v>2</v>
      </c>
      <c r="J346" s="1">
        <v>2</v>
      </c>
      <c r="K346" s="1">
        <v>2</v>
      </c>
      <c r="M346" s="4">
        <v>1274</v>
      </c>
      <c r="N346" s="1">
        <v>1193</v>
      </c>
      <c r="O346" s="1">
        <v>2059</v>
      </c>
      <c r="P346" s="1">
        <v>866</v>
      </c>
      <c r="Q346" s="1" t="s">
        <v>42</v>
      </c>
      <c r="S346" s="1" t="s">
        <v>42</v>
      </c>
      <c r="T346" s="1" t="s">
        <v>188</v>
      </c>
      <c r="U346" s="1">
        <v>79</v>
      </c>
      <c r="V346" s="5">
        <v>44419</v>
      </c>
      <c r="W346" s="5">
        <v>44137</v>
      </c>
      <c r="X346" s="1">
        <v>1530000</v>
      </c>
      <c r="Z346" s="5">
        <v>44216</v>
      </c>
      <c r="AB346" s="1" t="s">
        <v>44</v>
      </c>
      <c r="AF346" s="1">
        <v>10027</v>
      </c>
      <c r="AI346" s="1" t="s">
        <v>132</v>
      </c>
      <c r="AJ346" s="1">
        <v>2016</v>
      </c>
      <c r="AK346" s="1" t="s">
        <v>133</v>
      </c>
      <c r="AL346" s="1">
        <v>22</v>
      </c>
    </row>
    <row r="347" spans="1:38" x14ac:dyDescent="0.2">
      <c r="A347" s="2" t="str">
        <f>HYPERLINK("https://www.compass.com/listing/535-west-52nd-street-unit-9a-manhattan-ny-10019/682573033763910361/","535 W 52nd St, Unit 9A")</f>
        <v>535 W 52nd St, Unit 9A</v>
      </c>
      <c r="B347" s="2" t="str">
        <f>HYPERLINK("https://www.compass.com/building/535-w-52nd-st-manhattan-ny/292847931621444293/","535 W 52nd St")</f>
        <v>535 W 52nd St</v>
      </c>
      <c r="C347" s="1" t="s">
        <v>57</v>
      </c>
      <c r="D347" s="1" t="s">
        <v>41</v>
      </c>
      <c r="E347" s="3">
        <v>589008</v>
      </c>
      <c r="F347" s="1">
        <v>633.341935483871</v>
      </c>
      <c r="G347" s="1">
        <v>4</v>
      </c>
      <c r="H347" s="1">
        <v>2</v>
      </c>
      <c r="I347" s="1">
        <v>2</v>
      </c>
      <c r="J347" s="1">
        <v>2</v>
      </c>
      <c r="K347" s="1">
        <v>2</v>
      </c>
      <c r="M347" s="1">
        <v>930</v>
      </c>
      <c r="N347" s="1">
        <v>811.23</v>
      </c>
      <c r="O347" s="1">
        <v>811.23</v>
      </c>
      <c r="Q347" s="1" t="s">
        <v>191</v>
      </c>
      <c r="S347" s="1" t="s">
        <v>191</v>
      </c>
      <c r="T347" s="1" t="s">
        <v>188</v>
      </c>
      <c r="U347" s="1">
        <v>28</v>
      </c>
      <c r="V347" s="5">
        <v>44427</v>
      </c>
      <c r="W347" s="5">
        <v>44193</v>
      </c>
      <c r="X347" s="1">
        <v>589008</v>
      </c>
      <c r="Z347" s="5">
        <v>44237</v>
      </c>
      <c r="AB347" s="1" t="s">
        <v>44</v>
      </c>
      <c r="AF347" s="1">
        <v>10019</v>
      </c>
      <c r="AI347" s="1" t="s">
        <v>75</v>
      </c>
      <c r="AJ347" s="1">
        <v>2014</v>
      </c>
      <c r="AK347" s="1" t="s">
        <v>178</v>
      </c>
      <c r="AL347" s="1">
        <v>95</v>
      </c>
    </row>
    <row r="348" spans="1:38" x14ac:dyDescent="0.2">
      <c r="A348" s="2" t="str">
        <f>HYPERLINK("https://www.compass.com/listing/139-west-126th-street-unit-4b-manhattan-ny-10027/753611984781342049/","139 W 126th St, Unit 4B")</f>
        <v>139 W 126th St, Unit 4B</v>
      </c>
      <c r="B348" s="2" t="str">
        <f>HYPERLINK("https://www.compass.com/building/139-w-126th-st-manhattan-ny-10027/281978594853484453/","139 W 126th St")</f>
        <v>139 W 126th St</v>
      </c>
      <c r="C348" s="1" t="s">
        <v>145</v>
      </c>
      <c r="D348" s="1" t="s">
        <v>41</v>
      </c>
      <c r="E348" s="3">
        <v>975000</v>
      </c>
      <c r="F348" s="1">
        <v>1071.42857142857</v>
      </c>
      <c r="G348" s="1">
        <v>4</v>
      </c>
      <c r="H348" s="1">
        <v>2</v>
      </c>
      <c r="I348" s="1">
        <v>2</v>
      </c>
      <c r="J348" s="1">
        <v>2</v>
      </c>
      <c r="K348" s="1">
        <v>2</v>
      </c>
      <c r="M348" s="1">
        <v>910</v>
      </c>
      <c r="O348" s="1">
        <v>650.41666666666595</v>
      </c>
      <c r="P348" s="1">
        <v>650.41666666666595</v>
      </c>
      <c r="Q348" s="1" t="s">
        <v>195</v>
      </c>
      <c r="S348" s="1" t="s">
        <v>42</v>
      </c>
      <c r="T348" s="1" t="s">
        <v>188</v>
      </c>
      <c r="U348" s="1">
        <v>101</v>
      </c>
      <c r="V348" s="5">
        <v>44393</v>
      </c>
      <c r="W348" s="5">
        <v>44291</v>
      </c>
      <c r="X348" s="1">
        <v>1150000</v>
      </c>
      <c r="Z348" s="5">
        <v>44392</v>
      </c>
      <c r="AB348" s="1" t="s">
        <v>44</v>
      </c>
      <c r="AF348" s="1">
        <v>10027</v>
      </c>
      <c r="AI348" s="1" t="s">
        <v>123</v>
      </c>
      <c r="AJ348" s="1">
        <v>1910</v>
      </c>
      <c r="AL348" s="1">
        <v>4</v>
      </c>
    </row>
    <row r="349" spans="1:38" x14ac:dyDescent="0.2">
      <c r="A349" s="2" t="str">
        <f>HYPERLINK("https://www.compass.com/listing/301-west-53rd-street-unit-11h-manhattan-ny-10019/760956755078822225/","301 W 53rd St, Unit 11H")</f>
        <v>301 W 53rd St, Unit 11H</v>
      </c>
      <c r="B349" s="2" t="str">
        <f>HYPERLINK("https://www.compass.com/building/fifty-third-and-eighth-manhattan-ny/281944545158031557/","Fifty Third and Eighth")</f>
        <v>Fifty Third and Eighth</v>
      </c>
      <c r="C349" s="1" t="s">
        <v>57</v>
      </c>
      <c r="D349" s="1" t="s">
        <v>41</v>
      </c>
      <c r="E349" s="3">
        <v>999000</v>
      </c>
      <c r="F349" s="1">
        <v>1497.7511244377799</v>
      </c>
      <c r="G349" s="1">
        <v>3.5</v>
      </c>
      <c r="H349" s="1">
        <v>1</v>
      </c>
      <c r="I349" s="1">
        <v>1</v>
      </c>
      <c r="J349" s="1">
        <v>1</v>
      </c>
      <c r="K349" s="1">
        <v>1</v>
      </c>
      <c r="M349" s="1">
        <v>667</v>
      </c>
      <c r="N349" s="1">
        <v>647.27</v>
      </c>
      <c r="O349" s="1">
        <v>1713.27</v>
      </c>
      <c r="P349" s="1">
        <v>1066</v>
      </c>
      <c r="Q349" s="1" t="s">
        <v>42</v>
      </c>
      <c r="S349" s="1" t="s">
        <v>42</v>
      </c>
      <c r="T349" s="1" t="s">
        <v>188</v>
      </c>
      <c r="U349" s="1">
        <v>60</v>
      </c>
      <c r="V349" s="5">
        <v>44421</v>
      </c>
      <c r="W349" s="5">
        <v>44301</v>
      </c>
      <c r="X349" s="1">
        <v>1050000</v>
      </c>
      <c r="Z349" s="5">
        <v>44362</v>
      </c>
      <c r="AB349" s="1" t="s">
        <v>44</v>
      </c>
      <c r="AF349" s="1">
        <v>10019</v>
      </c>
      <c r="AI349" s="1" t="s">
        <v>76</v>
      </c>
      <c r="AJ349" s="1">
        <v>2017</v>
      </c>
      <c r="AK349" s="1" t="s">
        <v>81</v>
      </c>
      <c r="AL349" s="1">
        <v>248</v>
      </c>
    </row>
    <row r="350" spans="1:38" x14ac:dyDescent="0.2">
      <c r="A350" s="2" t="str">
        <f>HYPERLINK("https://www.compass.com/listing/375-west-123rd-street-unit-5a-manhattan-ny-10027/815073038309656593/","375 W 123rd St, Unit 5A")</f>
        <v>375 W 123rd St, Unit 5A</v>
      </c>
      <c r="B350" s="2" t="str">
        <f t="shared" ref="B350:B352" si="55">HYPERLINK("https://www.compass.com/building/99-morningside-manhattan-ny/281983676789660549/","99 Morningside")</f>
        <v>99 Morningside</v>
      </c>
      <c r="C350" s="1" t="s">
        <v>131</v>
      </c>
      <c r="D350" s="1" t="s">
        <v>41</v>
      </c>
      <c r="E350" s="3">
        <v>1650000</v>
      </c>
      <c r="F350" s="1">
        <v>1166.0777385158999</v>
      </c>
      <c r="G350" s="1">
        <v>5</v>
      </c>
      <c r="H350" s="1">
        <v>3</v>
      </c>
      <c r="I350" s="1">
        <v>2</v>
      </c>
      <c r="J350" s="1">
        <v>2</v>
      </c>
      <c r="K350" s="1">
        <v>2</v>
      </c>
      <c r="M350" s="4">
        <v>1415</v>
      </c>
      <c r="N350" s="1">
        <v>1320</v>
      </c>
      <c r="O350" s="1">
        <v>2383</v>
      </c>
      <c r="P350" s="1">
        <v>1063</v>
      </c>
      <c r="Q350" s="1" t="s">
        <v>42</v>
      </c>
      <c r="S350" s="1" t="s">
        <v>42</v>
      </c>
      <c r="T350" s="1" t="s">
        <v>188</v>
      </c>
      <c r="U350" s="1">
        <v>239</v>
      </c>
      <c r="V350" s="5">
        <v>44376</v>
      </c>
      <c r="W350" s="5">
        <v>44137</v>
      </c>
      <c r="X350" s="1">
        <v>1650000</v>
      </c>
      <c r="Z350" s="5">
        <v>44376</v>
      </c>
      <c r="AB350" s="1" t="s">
        <v>44</v>
      </c>
      <c r="AF350" s="1">
        <v>10027</v>
      </c>
      <c r="AI350" s="1" t="s">
        <v>132</v>
      </c>
      <c r="AJ350" s="1">
        <v>2016</v>
      </c>
      <c r="AK350" s="1" t="s">
        <v>133</v>
      </c>
      <c r="AL350" s="1">
        <v>22</v>
      </c>
    </row>
    <row r="351" spans="1:38" x14ac:dyDescent="0.2">
      <c r="A351" s="2" t="str">
        <f>HYPERLINK("https://www.compass.com/listing/375-west-123rd-street-unit-3b-manhattan-ny-10027/715151073483148609/","375 W 123rd St, Unit 3B")</f>
        <v>375 W 123rd St, Unit 3B</v>
      </c>
      <c r="B351" s="2" t="str">
        <f t="shared" si="55"/>
        <v>99 Morningside</v>
      </c>
      <c r="C351" s="1" t="s">
        <v>131</v>
      </c>
      <c r="D351" s="1" t="s">
        <v>41</v>
      </c>
      <c r="E351" s="3">
        <v>1100000</v>
      </c>
      <c r="F351" s="1">
        <v>1055.6621880998</v>
      </c>
      <c r="G351" s="1">
        <v>3</v>
      </c>
      <c r="H351" s="1">
        <v>1</v>
      </c>
      <c r="I351" s="1">
        <v>2</v>
      </c>
      <c r="J351" s="1">
        <v>1</v>
      </c>
      <c r="K351" s="1">
        <v>1</v>
      </c>
      <c r="M351" s="4">
        <v>1042</v>
      </c>
      <c r="N351" s="1">
        <v>967</v>
      </c>
      <c r="O351" s="1">
        <v>1484</v>
      </c>
      <c r="P351" s="1">
        <v>517</v>
      </c>
      <c r="Q351" s="1" t="s">
        <v>42</v>
      </c>
      <c r="S351" s="1" t="s">
        <v>42</v>
      </c>
      <c r="T351" s="1" t="s">
        <v>188</v>
      </c>
      <c r="U351" s="1">
        <v>56</v>
      </c>
      <c r="V351" s="5">
        <v>44416</v>
      </c>
      <c r="W351" s="5">
        <v>44238</v>
      </c>
      <c r="X351" s="1">
        <v>1100000</v>
      </c>
      <c r="Z351" s="5">
        <v>44295</v>
      </c>
      <c r="AB351" s="1" t="s">
        <v>44</v>
      </c>
      <c r="AF351" s="1">
        <v>10027</v>
      </c>
      <c r="AI351" s="1" t="s">
        <v>132</v>
      </c>
      <c r="AJ351" s="1">
        <v>2016</v>
      </c>
      <c r="AK351" s="1" t="s">
        <v>133</v>
      </c>
      <c r="AL351" s="1">
        <v>22</v>
      </c>
    </row>
    <row r="352" spans="1:38" x14ac:dyDescent="0.2">
      <c r="A352" s="2" t="str">
        <f>HYPERLINK("https://www.compass.com/listing/375-west-123rd-street-unit-10b-manhattan-ny-10027/652881868618866465/","375 W 123rd St, Unit 10B")</f>
        <v>375 W 123rd St, Unit 10B</v>
      </c>
      <c r="B352" s="2" t="str">
        <f t="shared" si="55"/>
        <v>99 Morningside</v>
      </c>
      <c r="C352" s="1" t="s">
        <v>131</v>
      </c>
      <c r="D352" s="1" t="s">
        <v>41</v>
      </c>
      <c r="E352" s="3">
        <v>2395000</v>
      </c>
      <c r="F352" s="1">
        <v>1478.3950617283899</v>
      </c>
      <c r="G352" s="1">
        <v>6</v>
      </c>
      <c r="H352" s="1">
        <v>3</v>
      </c>
      <c r="I352" s="1">
        <v>3</v>
      </c>
      <c r="J352" s="1">
        <v>2</v>
      </c>
      <c r="K352" s="1">
        <v>2</v>
      </c>
      <c r="M352" s="4">
        <v>1620</v>
      </c>
      <c r="N352" s="1">
        <v>1481</v>
      </c>
      <c r="O352" s="1">
        <v>2794</v>
      </c>
      <c r="P352" s="1">
        <v>1313</v>
      </c>
      <c r="Q352" s="1" t="s">
        <v>42</v>
      </c>
      <c r="S352" s="1" t="s">
        <v>42</v>
      </c>
      <c r="T352" s="1" t="s">
        <v>188</v>
      </c>
      <c r="U352" s="1">
        <v>183</v>
      </c>
      <c r="V352" s="5">
        <v>44398</v>
      </c>
      <c r="W352" s="5">
        <v>44152</v>
      </c>
      <c r="X352" s="1">
        <v>2395000</v>
      </c>
      <c r="Z352" s="5">
        <v>44335</v>
      </c>
      <c r="AB352" s="1" t="s">
        <v>44</v>
      </c>
      <c r="AF352" s="1">
        <v>10027</v>
      </c>
      <c r="AI352" s="1" t="s">
        <v>159</v>
      </c>
      <c r="AJ352" s="1">
        <v>2016</v>
      </c>
      <c r="AK352" s="1" t="s">
        <v>133</v>
      </c>
      <c r="AL352" s="1">
        <v>22</v>
      </c>
    </row>
    <row r="353" spans="1:38" x14ac:dyDescent="0.2">
      <c r="A353" s="2" t="str">
        <f>HYPERLINK("https://www.compass.com/listing/301-west-53rd-street-unit-2gh-manhattan-ny-10019/583351677233676873/","301 W 53rd St, Unit 2GH")</f>
        <v>301 W 53rd St, Unit 2GH</v>
      </c>
      <c r="B353" s="2" t="str">
        <f>HYPERLINK("https://www.compass.com/building/fifty-third-and-eighth-manhattan-ny/281944545158031557/","Fifty Third and Eighth")</f>
        <v>Fifty Third and Eighth</v>
      </c>
      <c r="C353" s="1" t="s">
        <v>57</v>
      </c>
      <c r="D353" s="1" t="s">
        <v>41</v>
      </c>
      <c r="E353" s="3">
        <v>2125000</v>
      </c>
      <c r="F353" s="1">
        <v>1579.92565055762</v>
      </c>
      <c r="G353" s="1">
        <v>6</v>
      </c>
      <c r="H353" s="1">
        <v>2</v>
      </c>
      <c r="I353" s="1">
        <v>2</v>
      </c>
      <c r="J353" s="1">
        <v>2</v>
      </c>
      <c r="K353" s="1">
        <v>2</v>
      </c>
      <c r="M353" s="4">
        <v>1345</v>
      </c>
      <c r="N353" s="1">
        <v>1411</v>
      </c>
      <c r="O353" s="1">
        <v>3364</v>
      </c>
      <c r="P353" s="1">
        <v>1953</v>
      </c>
      <c r="Q353" s="1" t="s">
        <v>42</v>
      </c>
      <c r="S353" s="1" t="s">
        <v>42</v>
      </c>
      <c r="T353" s="1" t="s">
        <v>188</v>
      </c>
      <c r="U353" s="1">
        <v>285</v>
      </c>
      <c r="V353" s="5">
        <v>44427</v>
      </c>
      <c r="W353" s="5">
        <v>44056</v>
      </c>
      <c r="X353" s="1">
        <v>2495000</v>
      </c>
      <c r="Z353" s="5">
        <v>44341</v>
      </c>
      <c r="AB353" s="1" t="s">
        <v>44</v>
      </c>
      <c r="AF353" s="1">
        <v>10019</v>
      </c>
      <c r="AI353" s="1" t="s">
        <v>196</v>
      </c>
      <c r="AJ353" s="1">
        <v>2017</v>
      </c>
      <c r="AK353" s="1" t="s">
        <v>81</v>
      </c>
      <c r="AL353" s="1">
        <v>248</v>
      </c>
    </row>
    <row r="354" spans="1:38" x14ac:dyDescent="0.2">
      <c r="A354" s="2" t="str">
        <f>HYPERLINK("https://www.compass.com/listing/308-west-133rd-street-unit-2b-manhattan-ny-10027/29514276951584865/","308 W 133rd St, Unit 2B")</f>
        <v>308 W 133rd St, Unit 2B</v>
      </c>
      <c r="B354" s="2" t="str">
        <f t="shared" ref="B354:B361" si="56">HYPERLINK("https://www.compass.com/building/308-w-133rd-st-manhattan-ny-10027/307450557841108341/","308 W 133rd St")</f>
        <v>308 W 133rd St</v>
      </c>
      <c r="C354" s="1" t="s">
        <v>145</v>
      </c>
      <c r="D354" s="1" t="s">
        <v>41</v>
      </c>
      <c r="E354" s="3">
        <v>489000</v>
      </c>
      <c r="F354" s="1">
        <v>1051.6129032258</v>
      </c>
      <c r="G354" s="1">
        <v>2</v>
      </c>
      <c r="H354" s="1" t="s">
        <v>77</v>
      </c>
      <c r="I354" s="1">
        <v>1</v>
      </c>
      <c r="J354" s="1">
        <v>1</v>
      </c>
      <c r="K354" s="1">
        <v>1</v>
      </c>
      <c r="M354" s="1">
        <v>465</v>
      </c>
      <c r="N354" s="1">
        <v>186</v>
      </c>
      <c r="O354" s="1">
        <v>508</v>
      </c>
      <c r="P354" s="1">
        <v>322</v>
      </c>
      <c r="Q354" s="1" t="s">
        <v>42</v>
      </c>
      <c r="S354" s="1" t="s">
        <v>42</v>
      </c>
      <c r="T354" s="1" t="s">
        <v>188</v>
      </c>
      <c r="V354" s="5">
        <v>44427</v>
      </c>
      <c r="W354" s="5">
        <v>43111</v>
      </c>
      <c r="X354" s="1">
        <v>489000</v>
      </c>
      <c r="Z354" s="5">
        <v>43509</v>
      </c>
      <c r="AB354" s="1" t="s">
        <v>44</v>
      </c>
      <c r="AF354" s="1">
        <v>10027</v>
      </c>
      <c r="AI354" s="1" t="s">
        <v>197</v>
      </c>
      <c r="AJ354" s="1">
        <v>2018</v>
      </c>
      <c r="AL354" s="1">
        <v>46</v>
      </c>
    </row>
    <row r="355" spans="1:38" x14ac:dyDescent="0.2">
      <c r="A355" s="2" t="str">
        <f>HYPERLINK("https://www.compass.com/listing/308-west-133rd-street-unit-5d-manhattan-ny-10027/29514278595849505/","308 W 133rd St, Unit 5D")</f>
        <v>308 W 133rd St, Unit 5D</v>
      </c>
      <c r="B355" s="2" t="str">
        <f t="shared" si="56"/>
        <v>308 W 133rd St</v>
      </c>
      <c r="C355" s="1" t="s">
        <v>145</v>
      </c>
      <c r="D355" s="1" t="s">
        <v>41</v>
      </c>
      <c r="E355" s="3">
        <v>830000</v>
      </c>
      <c r="F355" s="1">
        <v>1044.0251572326999</v>
      </c>
      <c r="G355" s="1">
        <v>3</v>
      </c>
      <c r="H355" s="1">
        <v>1</v>
      </c>
      <c r="I355" s="1">
        <v>2</v>
      </c>
      <c r="J355" s="1">
        <v>2</v>
      </c>
      <c r="K355" s="1">
        <v>2</v>
      </c>
      <c r="M355" s="1">
        <v>795</v>
      </c>
      <c r="N355" s="1">
        <v>297</v>
      </c>
      <c r="O355" s="1">
        <v>811</v>
      </c>
      <c r="P355" s="1">
        <v>514</v>
      </c>
      <c r="Q355" s="1" t="s">
        <v>42</v>
      </c>
      <c r="S355" s="1" t="s">
        <v>42</v>
      </c>
      <c r="T355" s="1" t="s">
        <v>188</v>
      </c>
      <c r="V355" s="5">
        <v>44427</v>
      </c>
      <c r="W355" s="5">
        <v>43111</v>
      </c>
      <c r="X355" s="1">
        <v>825000</v>
      </c>
      <c r="Z355" s="5">
        <v>43231</v>
      </c>
      <c r="AB355" s="1" t="s">
        <v>44</v>
      </c>
      <c r="AF355" s="1">
        <v>10027</v>
      </c>
      <c r="AI355" s="1" t="s">
        <v>198</v>
      </c>
      <c r="AJ355" s="1">
        <v>2018</v>
      </c>
      <c r="AL355" s="1">
        <v>46</v>
      </c>
    </row>
    <row r="356" spans="1:38" x14ac:dyDescent="0.2">
      <c r="A356" s="2" t="str">
        <f>HYPERLINK("https://www.compass.com/listing/308-west-133rd-street-unit-6d-manhattan-ny-10027/35618010794373841/","308 W 133rd St, Unit 6D")</f>
        <v>308 W 133rd St, Unit 6D</v>
      </c>
      <c r="B356" s="2" t="str">
        <f t="shared" si="56"/>
        <v>308 W 133rd St</v>
      </c>
      <c r="C356" s="1" t="s">
        <v>145</v>
      </c>
      <c r="D356" s="1" t="s">
        <v>41</v>
      </c>
      <c r="E356" s="3">
        <v>819000</v>
      </c>
      <c r="F356" s="1">
        <v>1031.48614609571</v>
      </c>
      <c r="G356" s="1">
        <v>4</v>
      </c>
      <c r="H356" s="1">
        <v>1</v>
      </c>
      <c r="I356" s="1">
        <v>2</v>
      </c>
      <c r="J356" s="1">
        <v>2</v>
      </c>
      <c r="K356" s="1">
        <v>2</v>
      </c>
      <c r="M356" s="1">
        <v>794</v>
      </c>
      <c r="N356" s="1">
        <v>333</v>
      </c>
      <c r="O356" s="1">
        <v>904</v>
      </c>
      <c r="P356" s="1">
        <v>571</v>
      </c>
      <c r="Q356" s="1" t="s">
        <v>42</v>
      </c>
      <c r="S356" s="1" t="s">
        <v>42</v>
      </c>
      <c r="T356" s="1" t="s">
        <v>188</v>
      </c>
      <c r="U356" s="1">
        <v>265</v>
      </c>
      <c r="V356" s="5">
        <v>44427</v>
      </c>
      <c r="W356" s="5">
        <v>43111</v>
      </c>
      <c r="X356" s="1">
        <v>829000</v>
      </c>
      <c r="Z356" s="5">
        <v>43509</v>
      </c>
      <c r="AB356" s="1" t="s">
        <v>44</v>
      </c>
      <c r="AF356" s="1">
        <v>10027</v>
      </c>
      <c r="AI356" s="1" t="s">
        <v>97</v>
      </c>
      <c r="AJ356" s="1">
        <v>2018</v>
      </c>
      <c r="AL356" s="1">
        <v>46</v>
      </c>
    </row>
    <row r="357" spans="1:38" x14ac:dyDescent="0.2">
      <c r="A357" s="2" t="str">
        <f>HYPERLINK("https://www.compass.com/listing/308-west-133rd-street-unit-10d-manhattan-ny-10027/29026853805113873/","308 W 133rd St, Unit 10D")</f>
        <v>308 W 133rd St, Unit 10D</v>
      </c>
      <c r="B357" s="2" t="str">
        <f t="shared" si="56"/>
        <v>308 W 133rd St</v>
      </c>
      <c r="C357" s="1" t="s">
        <v>145</v>
      </c>
      <c r="D357" s="1" t="s">
        <v>41</v>
      </c>
      <c r="E357" s="3">
        <v>779000</v>
      </c>
      <c r="F357" s="1">
        <v>1159.2261904761899</v>
      </c>
      <c r="G357" s="1">
        <v>3</v>
      </c>
      <c r="H357" s="1">
        <v>1</v>
      </c>
      <c r="I357" s="1">
        <v>1</v>
      </c>
      <c r="J357" s="1">
        <v>1</v>
      </c>
      <c r="K357" s="1">
        <v>1</v>
      </c>
      <c r="M357" s="1">
        <v>672</v>
      </c>
      <c r="N357" s="1">
        <v>264</v>
      </c>
      <c r="O357" s="1">
        <v>722</v>
      </c>
      <c r="P357" s="1">
        <v>458</v>
      </c>
      <c r="Q357" s="1" t="s">
        <v>42</v>
      </c>
      <c r="S357" s="1" t="s">
        <v>42</v>
      </c>
      <c r="T357" s="1" t="s">
        <v>188</v>
      </c>
      <c r="V357" s="5">
        <v>44427</v>
      </c>
      <c r="W357" s="5">
        <v>43111</v>
      </c>
      <c r="X357" s="1">
        <v>779000</v>
      </c>
      <c r="Z357" s="5">
        <v>43509</v>
      </c>
      <c r="AB357" s="1" t="s">
        <v>44</v>
      </c>
      <c r="AF357" s="1">
        <v>10027</v>
      </c>
      <c r="AI357" s="1" t="s">
        <v>199</v>
      </c>
      <c r="AJ357" s="1">
        <v>2018</v>
      </c>
      <c r="AL357" s="1">
        <v>46</v>
      </c>
    </row>
    <row r="358" spans="1:38" x14ac:dyDescent="0.2">
      <c r="A358" s="2" t="str">
        <f>HYPERLINK("https://www.compass.com/listing/308-west-133rd-street-unit-11d-manhattan-ny-10027/29514277605993745/","308 W 133rd St, Unit 11D")</f>
        <v>308 W 133rd St, Unit 11D</v>
      </c>
      <c r="B358" s="2" t="str">
        <f t="shared" si="56"/>
        <v>308 W 133rd St</v>
      </c>
      <c r="C358" s="1" t="s">
        <v>145</v>
      </c>
      <c r="D358" s="1" t="s">
        <v>41</v>
      </c>
      <c r="E358" s="3">
        <v>689000</v>
      </c>
      <c r="F358" s="1">
        <v>1154.1038525963099</v>
      </c>
      <c r="G358" s="1">
        <v>2</v>
      </c>
      <c r="H358" s="1" t="s">
        <v>77</v>
      </c>
      <c r="I358" s="1">
        <v>1</v>
      </c>
      <c r="J358" s="1">
        <v>1</v>
      </c>
      <c r="K358" s="1">
        <v>1</v>
      </c>
      <c r="M358" s="1">
        <v>597</v>
      </c>
      <c r="N358" s="1">
        <v>237</v>
      </c>
      <c r="O358" s="1">
        <v>647</v>
      </c>
      <c r="P358" s="1">
        <v>410</v>
      </c>
      <c r="Q358" s="1" t="s">
        <v>42</v>
      </c>
      <c r="S358" s="1" t="s">
        <v>42</v>
      </c>
      <c r="T358" s="1" t="s">
        <v>188</v>
      </c>
      <c r="V358" s="5">
        <v>44427</v>
      </c>
      <c r="W358" s="5">
        <v>43111</v>
      </c>
      <c r="X358" s="1">
        <v>689000</v>
      </c>
      <c r="Z358" s="5">
        <v>43509</v>
      </c>
      <c r="AB358" s="1" t="s">
        <v>44</v>
      </c>
      <c r="AF358" s="1">
        <v>10027</v>
      </c>
      <c r="AI358" s="1" t="s">
        <v>200</v>
      </c>
      <c r="AJ358" s="1">
        <v>2018</v>
      </c>
      <c r="AL358" s="1">
        <v>46</v>
      </c>
    </row>
    <row r="359" spans="1:38" x14ac:dyDescent="0.2">
      <c r="A359" s="2" t="str">
        <f>HYPERLINK("https://www.compass.com/listing/308-west-133rd-street-unit-5b-manhattan-ny-10027/29514276666469617/","308 W 133rd St, Unit 5B")</f>
        <v>308 W 133rd St, Unit 5B</v>
      </c>
      <c r="B359" s="2" t="str">
        <f t="shared" si="56"/>
        <v>308 W 133rd St</v>
      </c>
      <c r="C359" s="1" t="s">
        <v>145</v>
      </c>
      <c r="D359" s="1" t="s">
        <v>41</v>
      </c>
      <c r="E359" s="3">
        <v>659000</v>
      </c>
      <c r="F359" s="1">
        <v>1047.6947535771001</v>
      </c>
      <c r="G359" s="1">
        <v>2</v>
      </c>
      <c r="H359" s="1">
        <v>1</v>
      </c>
      <c r="I359" s="1">
        <v>1</v>
      </c>
      <c r="J359" s="1">
        <v>1</v>
      </c>
      <c r="K359" s="1">
        <v>1</v>
      </c>
      <c r="M359" s="1">
        <v>629</v>
      </c>
      <c r="N359" s="1">
        <v>232</v>
      </c>
      <c r="O359" s="1">
        <v>632</v>
      </c>
      <c r="P359" s="1">
        <v>400</v>
      </c>
      <c r="Q359" s="1" t="s">
        <v>42</v>
      </c>
      <c r="S359" s="1" t="s">
        <v>42</v>
      </c>
      <c r="T359" s="1" t="s">
        <v>188</v>
      </c>
      <c r="U359" s="1">
        <v>151</v>
      </c>
      <c r="V359" s="5">
        <v>44427</v>
      </c>
      <c r="W359" s="5">
        <v>43111</v>
      </c>
      <c r="X359" s="1">
        <v>659000</v>
      </c>
      <c r="Z359" s="5">
        <v>43509</v>
      </c>
      <c r="AB359" s="1" t="s">
        <v>44</v>
      </c>
      <c r="AF359" s="1">
        <v>10027</v>
      </c>
      <c r="AI359" s="1" t="s">
        <v>99</v>
      </c>
      <c r="AJ359" s="1">
        <v>2018</v>
      </c>
      <c r="AL359" s="1">
        <v>46</v>
      </c>
    </row>
    <row r="360" spans="1:38" x14ac:dyDescent="0.2">
      <c r="A360" s="2" t="str">
        <f>HYPERLINK("https://www.compass.com/listing/308-west-133rd-street-unit-4d-manhattan-ny-10027/182641808738658673/","308 W 133rd St, Unit 4D")</f>
        <v>308 W 133rd St, Unit 4D</v>
      </c>
      <c r="B360" s="2" t="str">
        <f t="shared" si="56"/>
        <v>308 W 133rd St</v>
      </c>
      <c r="C360" s="1" t="s">
        <v>145</v>
      </c>
      <c r="D360" s="1" t="s">
        <v>41</v>
      </c>
      <c r="E360" s="3">
        <v>733500</v>
      </c>
      <c r="F360" s="1">
        <v>922.64150943396203</v>
      </c>
      <c r="G360" s="1">
        <v>3</v>
      </c>
      <c r="H360" s="1">
        <v>1</v>
      </c>
      <c r="I360" s="1">
        <v>2</v>
      </c>
      <c r="J360" s="1">
        <v>2</v>
      </c>
      <c r="K360" s="1">
        <v>2</v>
      </c>
      <c r="M360" s="1">
        <v>795</v>
      </c>
      <c r="N360" s="1">
        <v>333</v>
      </c>
      <c r="O360" s="1">
        <v>1448</v>
      </c>
      <c r="P360" s="1">
        <v>1115</v>
      </c>
      <c r="Q360" s="1" t="s">
        <v>42</v>
      </c>
      <c r="S360" s="1" t="s">
        <v>42</v>
      </c>
      <c r="T360" s="1" t="s">
        <v>188</v>
      </c>
      <c r="V360" s="5">
        <v>44387</v>
      </c>
      <c r="W360" s="5">
        <v>43503</v>
      </c>
      <c r="X360" s="1">
        <v>733500</v>
      </c>
      <c r="Z360" s="5">
        <v>43503</v>
      </c>
      <c r="AB360" s="1" t="s">
        <v>44</v>
      </c>
      <c r="AF360" s="1">
        <v>10027</v>
      </c>
      <c r="AI360" s="1" t="s">
        <v>97</v>
      </c>
      <c r="AJ360" s="1">
        <v>2018</v>
      </c>
      <c r="AL360" s="1">
        <v>46</v>
      </c>
    </row>
    <row r="361" spans="1:38" x14ac:dyDescent="0.2">
      <c r="A361" s="2" t="str">
        <f>HYPERLINK("https://www.compass.com/listing/308-west-133rd-street-unit-7d-manhattan-ny-10027/223735260930759761/","308 W 133rd St, Unit 7D")</f>
        <v>308 W 133rd St, Unit 7D</v>
      </c>
      <c r="B361" s="2" t="str">
        <f t="shared" si="56"/>
        <v>308 W 133rd St</v>
      </c>
      <c r="C361" s="1" t="s">
        <v>145</v>
      </c>
      <c r="D361" s="1" t="s">
        <v>41</v>
      </c>
      <c r="E361" s="3">
        <v>764100</v>
      </c>
      <c r="F361" s="1">
        <v>962.34256926952105</v>
      </c>
      <c r="G361" s="1">
        <v>3.5</v>
      </c>
      <c r="H361" s="1">
        <v>1</v>
      </c>
      <c r="I361" s="1">
        <v>2</v>
      </c>
      <c r="J361" s="1">
        <v>2</v>
      </c>
      <c r="K361" s="1">
        <v>2</v>
      </c>
      <c r="M361" s="1">
        <v>794</v>
      </c>
      <c r="N361" s="1">
        <v>333</v>
      </c>
      <c r="O361" s="1">
        <v>1448</v>
      </c>
      <c r="P361" s="1">
        <v>1115</v>
      </c>
      <c r="Q361" s="1" t="s">
        <v>42</v>
      </c>
      <c r="S361" s="1" t="s">
        <v>42</v>
      </c>
      <c r="T361" s="1" t="s">
        <v>188</v>
      </c>
      <c r="V361" s="5">
        <v>44398</v>
      </c>
      <c r="W361" s="5">
        <v>43560</v>
      </c>
      <c r="X361" s="1">
        <v>764100</v>
      </c>
      <c r="Z361" s="5">
        <v>43560</v>
      </c>
      <c r="AB361" s="1" t="s">
        <v>44</v>
      </c>
      <c r="AF361" s="1">
        <v>10027</v>
      </c>
      <c r="AI361" s="1" t="s">
        <v>97</v>
      </c>
      <c r="AJ361" s="1">
        <v>2018</v>
      </c>
      <c r="AL361" s="1">
        <v>46</v>
      </c>
    </row>
    <row r="362" spans="1:38" x14ac:dyDescent="0.2">
      <c r="A362" s="2" t="str">
        <f>HYPERLINK("https://www.compass.com/listing/1399-park-avenue-unit-8b-manhattan-ny-10029/801633179408778729/","1399 Park Ave, Unit 8B")</f>
        <v>1399 Park Ave, Unit 8B</v>
      </c>
      <c r="B362" s="2" t="str">
        <f t="shared" ref="B362:B364" si="57">HYPERLINK("https://www.compass.com/building/1399-park-manhattan-ny/281988559521557189/","1399 Park")</f>
        <v>1399 Park</v>
      </c>
      <c r="C362" s="1" t="s">
        <v>82</v>
      </c>
      <c r="D362" s="1" t="s">
        <v>41</v>
      </c>
      <c r="E362" s="3">
        <v>1085000</v>
      </c>
      <c r="F362" s="1">
        <v>1052.3763336566401</v>
      </c>
      <c r="G362" s="1">
        <v>4</v>
      </c>
      <c r="H362" s="1">
        <v>2</v>
      </c>
      <c r="I362" s="1">
        <v>2</v>
      </c>
      <c r="J362" s="1">
        <v>2</v>
      </c>
      <c r="K362" s="1">
        <v>2</v>
      </c>
      <c r="M362" s="4">
        <v>1031</v>
      </c>
      <c r="N362" s="1">
        <v>1196</v>
      </c>
      <c r="O362" s="1">
        <v>2361</v>
      </c>
      <c r="P362" s="1">
        <v>1165</v>
      </c>
      <c r="Q362" s="1" t="s">
        <v>42</v>
      </c>
      <c r="S362" s="1" t="s">
        <v>42</v>
      </c>
      <c r="T362" s="1" t="s">
        <v>188</v>
      </c>
      <c r="V362" s="5">
        <v>44426</v>
      </c>
      <c r="W362" s="5">
        <v>43901</v>
      </c>
      <c r="X362" s="1">
        <v>1085000</v>
      </c>
      <c r="Z362" s="5">
        <v>43901</v>
      </c>
      <c r="AB362" s="1" t="s">
        <v>44</v>
      </c>
      <c r="AF362" s="1">
        <v>10029</v>
      </c>
      <c r="AI362" s="1" t="s">
        <v>52</v>
      </c>
      <c r="AJ362" s="1">
        <v>2019</v>
      </c>
      <c r="AK362" s="1" t="s">
        <v>87</v>
      </c>
      <c r="AL362" s="1">
        <v>72</v>
      </c>
    </row>
    <row r="363" spans="1:38" x14ac:dyDescent="0.2">
      <c r="A363" s="2" t="str">
        <f>HYPERLINK("https://www.compass.com/listing/1399-park-avenue-unit-9e-manhattan-ny-10029/400698189413125185/","1399 Park Ave, Unit 9E")</f>
        <v>1399 Park Ave, Unit 9E</v>
      </c>
      <c r="B363" s="2" t="str">
        <f t="shared" si="57"/>
        <v>1399 Park</v>
      </c>
      <c r="C363" s="1" t="s">
        <v>82</v>
      </c>
      <c r="D363" s="1" t="s">
        <v>41</v>
      </c>
      <c r="E363" s="3">
        <v>840000</v>
      </c>
      <c r="F363" s="1">
        <v>1191.48936170212</v>
      </c>
      <c r="G363" s="1">
        <v>3</v>
      </c>
      <c r="H363" s="1">
        <v>1</v>
      </c>
      <c r="I363" s="1">
        <v>1</v>
      </c>
      <c r="J363" s="1">
        <v>1</v>
      </c>
      <c r="K363" s="1">
        <v>1</v>
      </c>
      <c r="M363" s="1">
        <v>705</v>
      </c>
      <c r="N363" s="1">
        <v>818</v>
      </c>
      <c r="O363" s="1">
        <v>1614</v>
      </c>
      <c r="P363" s="1">
        <v>796</v>
      </c>
      <c r="Q363" s="1" t="s">
        <v>42</v>
      </c>
      <c r="S363" s="1" t="s">
        <v>42</v>
      </c>
      <c r="T363" s="1" t="s">
        <v>188</v>
      </c>
      <c r="U363" s="1">
        <v>67</v>
      </c>
      <c r="V363" s="5">
        <v>44423</v>
      </c>
      <c r="W363" s="5">
        <v>43804</v>
      </c>
      <c r="X363" s="1">
        <v>940000</v>
      </c>
      <c r="Z363" s="5">
        <v>43914</v>
      </c>
      <c r="AB363" s="1" t="s">
        <v>44</v>
      </c>
      <c r="AF363" s="1">
        <v>10029</v>
      </c>
      <c r="AI363" s="1" t="s">
        <v>52</v>
      </c>
      <c r="AJ363" s="1">
        <v>2019</v>
      </c>
      <c r="AK363" s="1" t="s">
        <v>87</v>
      </c>
      <c r="AL363" s="1">
        <v>72</v>
      </c>
    </row>
    <row r="364" spans="1:38" x14ac:dyDescent="0.2">
      <c r="A364" s="2" t="str">
        <f>HYPERLINK("https://www.compass.com/listing/1399-park-avenue-unit-19b-manhattan-ny-10029/677307055681594137/","1399 Park Ave, Unit 19B")</f>
        <v>1399 Park Ave, Unit 19B</v>
      </c>
      <c r="B364" s="2" t="str">
        <f t="shared" si="57"/>
        <v>1399 Park</v>
      </c>
      <c r="C364" s="1" t="s">
        <v>82</v>
      </c>
      <c r="D364" s="1" t="s">
        <v>41</v>
      </c>
      <c r="E364" s="3">
        <v>1995000</v>
      </c>
      <c r="F364" s="1">
        <v>903.53260869565202</v>
      </c>
      <c r="G364" s="1">
        <v>6</v>
      </c>
      <c r="H364" s="1">
        <v>4</v>
      </c>
      <c r="I364" s="1">
        <v>3</v>
      </c>
      <c r="J364" s="1">
        <v>3</v>
      </c>
      <c r="K364" s="1">
        <v>3</v>
      </c>
      <c r="M364" s="4">
        <v>2208</v>
      </c>
      <c r="N364" s="1">
        <v>2564.9899999999998</v>
      </c>
      <c r="O364" s="1">
        <v>5060.99</v>
      </c>
      <c r="P364" s="1">
        <v>2496</v>
      </c>
      <c r="Q364" s="1" t="s">
        <v>42</v>
      </c>
      <c r="S364" s="1" t="s">
        <v>42</v>
      </c>
      <c r="T364" s="1" t="s">
        <v>188</v>
      </c>
      <c r="U364" s="1">
        <v>211</v>
      </c>
      <c r="V364" s="5">
        <v>44427</v>
      </c>
      <c r="W364" s="5">
        <v>44186</v>
      </c>
      <c r="X364" s="1">
        <v>1995000</v>
      </c>
      <c r="Z364" s="5">
        <v>44397</v>
      </c>
      <c r="AB364" s="1" t="s">
        <v>44</v>
      </c>
      <c r="AF364" s="1">
        <v>10029</v>
      </c>
      <c r="AI364" s="1" t="s">
        <v>52</v>
      </c>
      <c r="AJ364" s="1">
        <v>2019</v>
      </c>
      <c r="AK364" s="1" t="s">
        <v>87</v>
      </c>
      <c r="AL364" s="1">
        <v>72</v>
      </c>
    </row>
    <row r="365" spans="1:38" x14ac:dyDescent="0.2">
      <c r="A365" s="2" t="str">
        <f>HYPERLINK("https://www.compass.com/listing/25-park-row-unit-11d-manhattan-ny-10038/243338152322808049/","25 Park Row, Unit 11D")</f>
        <v>25 Park Row, Unit 11D</v>
      </c>
      <c r="B365" s="2" t="str">
        <f t="shared" ref="B365:B366" si="58">HYPERLINK("https://www.compass.com/building/25-park-row-manhattan-ny-10038/292920743539264837/","25 Park Row")</f>
        <v>25 Park Row</v>
      </c>
      <c r="C365" s="1" t="s">
        <v>155</v>
      </c>
      <c r="D365" s="1" t="s">
        <v>41</v>
      </c>
      <c r="E365" s="3">
        <v>5125000</v>
      </c>
      <c r="F365" s="1">
        <v>2423.1678486997598</v>
      </c>
      <c r="G365" s="1">
        <v>5.5</v>
      </c>
      <c r="H365" s="1">
        <v>3</v>
      </c>
      <c r="I365" s="1">
        <v>4</v>
      </c>
      <c r="J365" s="1">
        <v>3.5</v>
      </c>
      <c r="K365" s="1">
        <v>3</v>
      </c>
      <c r="L365" s="1">
        <v>1</v>
      </c>
      <c r="M365" s="4">
        <v>2115</v>
      </c>
      <c r="N365" s="1">
        <v>4355.62</v>
      </c>
      <c r="O365" s="1">
        <v>7261.88</v>
      </c>
      <c r="P365" s="1">
        <v>2906.25</v>
      </c>
      <c r="Q365" s="1" t="s">
        <v>42</v>
      </c>
      <c r="S365" s="1" t="s">
        <v>42</v>
      </c>
      <c r="T365" s="1" t="s">
        <v>188</v>
      </c>
      <c r="U365" s="1">
        <v>300</v>
      </c>
      <c r="V365" s="5">
        <v>44419</v>
      </c>
      <c r="W365" s="5">
        <v>44089</v>
      </c>
      <c r="Z365" s="5">
        <v>44390</v>
      </c>
      <c r="AB365" s="1" t="s">
        <v>44</v>
      </c>
      <c r="AF365" s="1">
        <v>10038</v>
      </c>
      <c r="AI365" s="1" t="s">
        <v>186</v>
      </c>
      <c r="AJ365" s="1">
        <v>2019</v>
      </c>
      <c r="AK365" s="1" t="s">
        <v>87</v>
      </c>
      <c r="AL365" s="1">
        <v>110</v>
      </c>
    </row>
    <row r="366" spans="1:38" x14ac:dyDescent="0.2">
      <c r="A366" s="2" t="str">
        <f>HYPERLINK("https://www.compass.com/listing/25-park-row-unit-15b-manhattan-ny-10038/178426775909451041/","25 Park Row, Unit 15B")</f>
        <v>25 Park Row, Unit 15B</v>
      </c>
      <c r="B366" s="2" t="str">
        <f t="shared" si="58"/>
        <v>25 Park Row</v>
      </c>
      <c r="C366" s="1" t="s">
        <v>155</v>
      </c>
      <c r="D366" s="1" t="s">
        <v>41</v>
      </c>
      <c r="E366" s="3">
        <v>7650000</v>
      </c>
      <c r="F366" s="1">
        <v>2629.7696803025001</v>
      </c>
      <c r="G366" s="1">
        <v>7</v>
      </c>
      <c r="H366" s="1">
        <v>4</v>
      </c>
      <c r="I366" s="1">
        <v>4</v>
      </c>
      <c r="J366" s="1">
        <v>4</v>
      </c>
      <c r="K366" s="1">
        <v>4</v>
      </c>
      <c r="M366" s="4">
        <v>2909</v>
      </c>
      <c r="N366" s="1">
        <v>3954.81</v>
      </c>
      <c r="O366" s="1">
        <v>7910.15</v>
      </c>
      <c r="P366" s="1">
        <v>3955.3333333333298</v>
      </c>
      <c r="Q366" s="1" t="s">
        <v>42</v>
      </c>
      <c r="S366" s="1" t="s">
        <v>42</v>
      </c>
      <c r="T366" s="1" t="s">
        <v>188</v>
      </c>
      <c r="U366" s="1">
        <v>789</v>
      </c>
      <c r="V366" s="5">
        <v>44421</v>
      </c>
      <c r="W366" s="5">
        <v>43493</v>
      </c>
      <c r="X366" s="1">
        <v>7650000</v>
      </c>
      <c r="Z366" s="5">
        <v>44377</v>
      </c>
      <c r="AB366" s="1" t="s">
        <v>44</v>
      </c>
      <c r="AF366" s="1">
        <v>10038</v>
      </c>
      <c r="AI366" s="1" t="s">
        <v>185</v>
      </c>
      <c r="AJ366" s="1">
        <v>2019</v>
      </c>
      <c r="AK366" s="1" t="s">
        <v>87</v>
      </c>
      <c r="AL366" s="1">
        <v>110</v>
      </c>
    </row>
    <row r="367" spans="1:38" x14ac:dyDescent="0.2">
      <c r="A367" s="2" t="str">
        <f>HYPERLINK("https://www.compass.com/listing/40-bleecker-street-unit-9e-manhattan-ny-10012/790631290821228353/","40 Bleecker St, Unit 9E")</f>
        <v>40 Bleecker St, Unit 9E</v>
      </c>
      <c r="B367" s="2" t="str">
        <f>HYPERLINK("https://www.compass.com/building/40-bleecker-manhattan-ny/282058881784380757/","40 Bleecker")</f>
        <v>40 Bleecker</v>
      </c>
      <c r="C367" s="1" t="s">
        <v>92</v>
      </c>
      <c r="D367" s="1" t="s">
        <v>41</v>
      </c>
      <c r="E367" s="3">
        <v>5960000</v>
      </c>
      <c r="F367" s="1">
        <v>3183.76068376068</v>
      </c>
      <c r="G367" s="1">
        <v>7</v>
      </c>
      <c r="H367" s="1">
        <v>3</v>
      </c>
      <c r="I367" s="1">
        <v>4</v>
      </c>
      <c r="J367" s="1">
        <v>3.5</v>
      </c>
      <c r="K367" s="1">
        <v>3</v>
      </c>
      <c r="L367" s="1">
        <v>1</v>
      </c>
      <c r="M367" s="4">
        <v>1872</v>
      </c>
      <c r="N367" s="1">
        <v>2720</v>
      </c>
      <c r="O367" s="1">
        <v>5934</v>
      </c>
      <c r="P367" s="1">
        <v>3214</v>
      </c>
      <c r="Q367" s="1" t="s">
        <v>42</v>
      </c>
      <c r="S367" s="1" t="s">
        <v>42</v>
      </c>
      <c r="T367" s="1" t="s">
        <v>188</v>
      </c>
      <c r="U367" s="1">
        <v>116</v>
      </c>
      <c r="V367" s="5">
        <v>44419</v>
      </c>
      <c r="W367" s="5">
        <v>44302</v>
      </c>
      <c r="X367" s="1">
        <v>5960000</v>
      </c>
      <c r="Z367" s="5">
        <v>44419</v>
      </c>
      <c r="AB367" s="1" t="s">
        <v>44</v>
      </c>
      <c r="AF367" s="1">
        <v>10012</v>
      </c>
      <c r="AI367" s="1" t="s">
        <v>58</v>
      </c>
      <c r="AJ367" s="1">
        <v>2019</v>
      </c>
      <c r="AK367" s="1" t="s">
        <v>94</v>
      </c>
      <c r="AL367" s="1">
        <v>61</v>
      </c>
    </row>
    <row r="368" spans="1:38" x14ac:dyDescent="0.2">
      <c r="A368" s="2" t="str">
        <f>HYPERLINK("https://www.compass.com/listing/32-east-1st-street-unit-6d-manhattan-ny-10003/677685713923508657/","32 E 1st St, Unit 6D")</f>
        <v>32 E 1st St, Unit 6D</v>
      </c>
      <c r="B368" s="2" t="str">
        <f>HYPERLINK("https://www.compass.com/building/32-east-1st-street-manhattan-ny/292783157810310133/","32 East 1st Street")</f>
        <v>32 East 1st Street</v>
      </c>
      <c r="C368" s="1" t="s">
        <v>88</v>
      </c>
      <c r="D368" s="1" t="s">
        <v>41</v>
      </c>
      <c r="E368" s="3">
        <v>3250000</v>
      </c>
      <c r="F368" s="1">
        <v>2557.0416994492498</v>
      </c>
      <c r="G368" s="1">
        <v>4</v>
      </c>
      <c r="H368" s="1">
        <v>2</v>
      </c>
      <c r="I368" s="1">
        <v>2</v>
      </c>
      <c r="J368" s="1">
        <v>2</v>
      </c>
      <c r="K368" s="1">
        <v>2</v>
      </c>
      <c r="M368" s="4">
        <v>1271</v>
      </c>
      <c r="N368" s="1">
        <v>1677</v>
      </c>
      <c r="O368" s="1">
        <v>4212</v>
      </c>
      <c r="P368" s="1">
        <v>2535</v>
      </c>
      <c r="Q368" s="1" t="s">
        <v>42</v>
      </c>
      <c r="S368" s="1" t="s">
        <v>42</v>
      </c>
      <c r="T368" s="1" t="s">
        <v>188</v>
      </c>
      <c r="U368" s="1">
        <v>217</v>
      </c>
      <c r="V368" s="5">
        <v>44404</v>
      </c>
      <c r="W368" s="5">
        <v>44186</v>
      </c>
      <c r="X368" s="1">
        <v>3250000</v>
      </c>
      <c r="Z368" s="5">
        <v>44404</v>
      </c>
      <c r="AB368" s="1" t="s">
        <v>44</v>
      </c>
      <c r="AF368" s="1">
        <v>10003</v>
      </c>
      <c r="AI368" s="1" t="s">
        <v>45</v>
      </c>
      <c r="AJ368" s="1">
        <v>2019</v>
      </c>
      <c r="AK368" s="1" t="s">
        <v>55</v>
      </c>
      <c r="AL368" s="1">
        <v>30</v>
      </c>
    </row>
    <row r="369" spans="1:39" x14ac:dyDescent="0.2">
      <c r="A369" s="2" t="str">
        <f>HYPERLINK("https://www.compass.com/listing/952-columbus-avenue-unit-2a-manhattan-ny-10025/571767979468204153/","952 Columbus Ave, Unit 2A")</f>
        <v>952 Columbus Ave, Unit 2A</v>
      </c>
      <c r="B369" s="2" t="str">
        <f>HYPERLINK("https://www.compass.com/building/952-columbus-ave-manhattan-ny-10025/281973617187710805/","952 Columbus Ave")</f>
        <v>952 Columbus Ave</v>
      </c>
      <c r="C369" s="1" t="s">
        <v>47</v>
      </c>
      <c r="D369" s="1" t="s">
        <v>41</v>
      </c>
      <c r="E369" s="3">
        <v>774000</v>
      </c>
      <c r="F369" s="1">
        <v>1087.07865168539</v>
      </c>
      <c r="G369" s="1">
        <v>3</v>
      </c>
      <c r="H369" s="1">
        <v>1</v>
      </c>
      <c r="I369" s="1">
        <v>1</v>
      </c>
      <c r="J369" s="1">
        <v>1</v>
      </c>
      <c r="K369" s="1">
        <v>1</v>
      </c>
      <c r="M369" s="1">
        <v>712</v>
      </c>
      <c r="N369" s="1">
        <v>485</v>
      </c>
      <c r="O369" s="1">
        <v>1138</v>
      </c>
      <c r="P369" s="1">
        <v>653</v>
      </c>
      <c r="Q369" s="1" t="s">
        <v>42</v>
      </c>
      <c r="S369" s="1" t="s">
        <v>42</v>
      </c>
      <c r="T369" s="1" t="s">
        <v>188</v>
      </c>
      <c r="U369" s="1">
        <v>353</v>
      </c>
      <c r="V369" s="5">
        <v>44413</v>
      </c>
      <c r="W369" s="5">
        <v>44036</v>
      </c>
      <c r="X369" s="1">
        <v>899000</v>
      </c>
      <c r="Z369" s="5">
        <v>44401</v>
      </c>
      <c r="AB369" s="1" t="s">
        <v>44</v>
      </c>
      <c r="AF369" s="1">
        <v>10025</v>
      </c>
      <c r="AI369" s="1" t="s">
        <v>52</v>
      </c>
      <c r="AJ369" s="1">
        <v>2016</v>
      </c>
      <c r="AK369" s="1" t="s">
        <v>140</v>
      </c>
      <c r="AL369" s="1">
        <v>15</v>
      </c>
    </row>
    <row r="372" spans="1:39" x14ac:dyDescent="0.2">
      <c r="A372" s="1" t="s">
        <v>201</v>
      </c>
    </row>
    <row r="373" spans="1:39" x14ac:dyDescent="0.2">
      <c r="A373" s="1" t="s">
        <v>1</v>
      </c>
      <c r="B373" s="1" t="s">
        <v>2</v>
      </c>
      <c r="C373" s="1" t="s">
        <v>3</v>
      </c>
      <c r="D373" s="1" t="s">
        <v>4</v>
      </c>
      <c r="E373" s="1" t="s">
        <v>5</v>
      </c>
      <c r="F373" s="1" t="s">
        <v>6</v>
      </c>
      <c r="G373" s="1" t="s">
        <v>7</v>
      </c>
      <c r="H373" s="1" t="s">
        <v>8</v>
      </c>
      <c r="I373" s="1" t="s">
        <v>9</v>
      </c>
      <c r="J373" s="1" t="s">
        <v>10</v>
      </c>
      <c r="K373" s="1" t="s">
        <v>11</v>
      </c>
      <c r="L373" s="1" t="s">
        <v>12</v>
      </c>
      <c r="M373" s="1" t="s">
        <v>13</v>
      </c>
      <c r="N373" s="1" t="s">
        <v>14</v>
      </c>
      <c r="O373" s="1" t="s">
        <v>15</v>
      </c>
      <c r="P373" s="1" t="s">
        <v>16</v>
      </c>
      <c r="Q373" s="1" t="s">
        <v>17</v>
      </c>
      <c r="R373" s="1" t="s">
        <v>18</v>
      </c>
      <c r="S373" s="1" t="s">
        <v>19</v>
      </c>
      <c r="T373" s="1" t="s">
        <v>20</v>
      </c>
      <c r="U373" s="1" t="s">
        <v>21</v>
      </c>
      <c r="V373" s="1" t="s">
        <v>22</v>
      </c>
      <c r="W373" s="1" t="s">
        <v>23</v>
      </c>
      <c r="X373" s="1" t="s">
        <v>24</v>
      </c>
      <c r="Y373" s="1" t="s">
        <v>25</v>
      </c>
      <c r="Z373" s="1" t="s">
        <v>26</v>
      </c>
      <c r="AA373" s="1" t="s">
        <v>27</v>
      </c>
      <c r="AB373" s="1" t="s">
        <v>28</v>
      </c>
      <c r="AC373" s="1" t="s">
        <v>29</v>
      </c>
      <c r="AD373" s="1" t="s">
        <v>30</v>
      </c>
      <c r="AE373" s="1" t="s">
        <v>31</v>
      </c>
      <c r="AF373" s="1" t="s">
        <v>32</v>
      </c>
      <c r="AG373" s="1" t="s">
        <v>33</v>
      </c>
      <c r="AH373" s="1" t="s">
        <v>34</v>
      </c>
      <c r="AI373" s="1" t="s">
        <v>35</v>
      </c>
      <c r="AJ373" s="1" t="s">
        <v>36</v>
      </c>
      <c r="AK373" s="1" t="s">
        <v>37</v>
      </c>
      <c r="AL373" s="1" t="s">
        <v>38</v>
      </c>
      <c r="AM373" s="1" t="s">
        <v>39</v>
      </c>
    </row>
    <row r="374" spans="1:39" x14ac:dyDescent="0.2">
      <c r="A374" s="2" t="str">
        <f>HYPERLINK("https://www.compass.com/listing/533-west-52nd-street-unit-6i-manhattan-ny-10019/769406297101722641/","533 W 52nd St, Unit 6I")</f>
        <v>533 W 52nd St, Unit 6I</v>
      </c>
      <c r="B374" s="1" t="s">
        <v>202</v>
      </c>
      <c r="C374" s="1" t="s">
        <v>57</v>
      </c>
      <c r="D374" s="1" t="s">
        <v>41</v>
      </c>
      <c r="E374" s="3">
        <v>409200</v>
      </c>
      <c r="F374" s="1">
        <v>473.06358381502798</v>
      </c>
      <c r="G374" s="1">
        <v>4</v>
      </c>
      <c r="H374" s="1">
        <v>2</v>
      </c>
      <c r="I374" s="1">
        <v>1</v>
      </c>
      <c r="J374" s="1">
        <v>1</v>
      </c>
      <c r="K374" s="1">
        <v>1</v>
      </c>
      <c r="M374" s="1">
        <v>865</v>
      </c>
      <c r="N374" s="1">
        <v>780.98</v>
      </c>
      <c r="O374" s="1">
        <v>780.98</v>
      </c>
      <c r="S374" s="1" t="s">
        <v>191</v>
      </c>
      <c r="T374" s="1" t="s">
        <v>203</v>
      </c>
      <c r="V374" s="5">
        <v>44313</v>
      </c>
      <c r="AA374" s="1">
        <v>409200</v>
      </c>
      <c r="AB374" s="1" t="s">
        <v>204</v>
      </c>
      <c r="AC374" s="5">
        <v>44313</v>
      </c>
      <c r="AF374" s="1">
        <v>10019</v>
      </c>
      <c r="AJ374" s="1">
        <v>1930</v>
      </c>
      <c r="AL374" s="1">
        <v>62</v>
      </c>
    </row>
    <row r="375" spans="1:39" x14ac:dyDescent="0.2">
      <c r="A375" s="2" t="str">
        <f>HYPERLINK("https://www.compass.com/listing/175-west-95th-street-unit-28b-manhattan-ny-10025/323614375009192721/","175 W 95th St, Unit 28B")</f>
        <v>175 W 95th St, Unit 28B</v>
      </c>
      <c r="B375" s="2" t="str">
        <f t="shared" ref="B375:B384" si="59">HYPERLINK("https://www.compass.com/building/175-w-95th-manhattan-ny/292876785429866517/","175 W 95th")</f>
        <v>175 W 95th</v>
      </c>
      <c r="C375" s="1" t="s">
        <v>47</v>
      </c>
      <c r="D375" s="1" t="s">
        <v>41</v>
      </c>
      <c r="E375" s="3">
        <v>1748130</v>
      </c>
      <c r="F375" s="1">
        <v>1787.4539877300599</v>
      </c>
      <c r="G375" s="1">
        <v>5</v>
      </c>
      <c r="H375" s="1">
        <v>2</v>
      </c>
      <c r="I375" s="1">
        <v>2</v>
      </c>
      <c r="J375" s="1">
        <v>2</v>
      </c>
      <c r="K375" s="1">
        <v>2</v>
      </c>
      <c r="M375" s="1">
        <v>978</v>
      </c>
      <c r="N375" s="1">
        <v>1130</v>
      </c>
      <c r="O375" s="1">
        <v>1813</v>
      </c>
      <c r="P375" s="1">
        <v>683</v>
      </c>
      <c r="Q375" s="1" t="s">
        <v>42</v>
      </c>
      <c r="S375" s="1" t="s">
        <v>42</v>
      </c>
      <c r="T375" s="1" t="s">
        <v>203</v>
      </c>
      <c r="V375" s="5">
        <v>43713</v>
      </c>
      <c r="W375" s="5">
        <v>43698</v>
      </c>
      <c r="X375" s="1">
        <v>1795000</v>
      </c>
      <c r="Y375" s="1">
        <v>1795000</v>
      </c>
      <c r="Z375" s="5">
        <v>43698</v>
      </c>
      <c r="AA375" s="1">
        <v>1748130</v>
      </c>
      <c r="AB375" s="1" t="s">
        <v>205</v>
      </c>
      <c r="AC375" s="5">
        <v>43705</v>
      </c>
      <c r="AF375" s="1">
        <v>10025</v>
      </c>
      <c r="AI375" s="1" t="s">
        <v>49</v>
      </c>
      <c r="AJ375" s="1">
        <v>1971</v>
      </c>
      <c r="AK375" s="1" t="s">
        <v>81</v>
      </c>
      <c r="AL375" s="1">
        <v>226</v>
      </c>
    </row>
    <row r="376" spans="1:39" x14ac:dyDescent="0.2">
      <c r="A376" s="2" t="str">
        <f>HYPERLINK("https://www.compass.com/listing/175-west-95th-street-unit-3b-manhattan-ny-10025/277451970434885249/","175 W 95th St, Unit 3B")</f>
        <v>175 W 95th St, Unit 3B</v>
      </c>
      <c r="B376" s="2" t="str">
        <f t="shared" si="59"/>
        <v>175 W 95th</v>
      </c>
      <c r="C376" s="1" t="s">
        <v>47</v>
      </c>
      <c r="D376" s="1" t="s">
        <v>41</v>
      </c>
      <c r="E376" s="3">
        <v>1490000</v>
      </c>
      <c r="F376" s="1">
        <v>1523.51738241308</v>
      </c>
      <c r="G376" s="1">
        <v>5</v>
      </c>
      <c r="H376" s="1">
        <v>2</v>
      </c>
      <c r="I376" s="1">
        <v>2</v>
      </c>
      <c r="J376" s="1">
        <v>2</v>
      </c>
      <c r="K376" s="1">
        <v>2</v>
      </c>
      <c r="M376" s="1">
        <v>978</v>
      </c>
      <c r="N376" s="1">
        <v>976</v>
      </c>
      <c r="O376" s="1">
        <v>1566</v>
      </c>
      <c r="P376" s="1">
        <v>590</v>
      </c>
      <c r="Q376" s="1" t="s">
        <v>42</v>
      </c>
      <c r="S376" s="1" t="s">
        <v>42</v>
      </c>
      <c r="T376" s="1" t="s">
        <v>203</v>
      </c>
      <c r="U376" s="1">
        <v>260</v>
      </c>
      <c r="V376" s="5">
        <v>43897</v>
      </c>
      <c r="W376" s="5">
        <v>43637</v>
      </c>
      <c r="X376" s="1">
        <v>1525000</v>
      </c>
      <c r="Y376" s="1">
        <v>1499999</v>
      </c>
      <c r="Z376" s="5">
        <v>43897</v>
      </c>
      <c r="AA376" s="1">
        <v>1490000</v>
      </c>
      <c r="AB376" s="1" t="s">
        <v>206</v>
      </c>
      <c r="AC376" s="5">
        <v>44012</v>
      </c>
      <c r="AF376" s="1">
        <v>10025</v>
      </c>
      <c r="AI376" s="1" t="s">
        <v>49</v>
      </c>
      <c r="AJ376" s="1">
        <v>1971</v>
      </c>
      <c r="AK376" s="1" t="s">
        <v>81</v>
      </c>
      <c r="AL376" s="1">
        <v>226</v>
      </c>
    </row>
    <row r="377" spans="1:39" x14ac:dyDescent="0.2">
      <c r="A377" s="2" t="str">
        <f>HYPERLINK("https://www.compass.com/listing/175-west-95th-street-unit-11b-manhattan-ny-10025/451527115302169465/","175 W 95th St, Unit 11B")</f>
        <v>175 W 95th St, Unit 11B</v>
      </c>
      <c r="B377" s="2" t="str">
        <f t="shared" si="59"/>
        <v>175 W 95th</v>
      </c>
      <c r="C377" s="1" t="s">
        <v>47</v>
      </c>
      <c r="D377" s="1" t="s">
        <v>41</v>
      </c>
      <c r="E377" s="3">
        <v>1385000</v>
      </c>
      <c r="F377" s="1">
        <v>1416.1554192229</v>
      </c>
      <c r="G377" s="1">
        <v>5</v>
      </c>
      <c r="H377" s="1">
        <v>2</v>
      </c>
      <c r="I377" s="1">
        <v>1</v>
      </c>
      <c r="J377" s="1">
        <v>2</v>
      </c>
      <c r="K377" s="1">
        <v>1</v>
      </c>
      <c r="M377" s="1">
        <v>978</v>
      </c>
      <c r="N377" s="1">
        <v>1043</v>
      </c>
      <c r="O377" s="1">
        <v>1782</v>
      </c>
      <c r="P377" s="1">
        <v>739</v>
      </c>
      <c r="Q377" s="1" t="s">
        <v>42</v>
      </c>
      <c r="S377" s="1" t="s">
        <v>42</v>
      </c>
      <c r="T377" s="1" t="s">
        <v>203</v>
      </c>
      <c r="U377" s="1">
        <v>24</v>
      </c>
      <c r="V377" s="5">
        <v>43959</v>
      </c>
      <c r="W377" s="5">
        <v>43875</v>
      </c>
      <c r="X377" s="1">
        <v>1395000</v>
      </c>
      <c r="Y377" s="1">
        <v>1395000</v>
      </c>
      <c r="Z377" s="5">
        <v>43900</v>
      </c>
      <c r="AA377" s="1">
        <v>1385000</v>
      </c>
      <c r="AB377" s="1" t="s">
        <v>207</v>
      </c>
      <c r="AC377" s="5">
        <v>43958</v>
      </c>
      <c r="AF377" s="1">
        <v>10025</v>
      </c>
      <c r="AI377" s="1" t="s">
        <v>49</v>
      </c>
      <c r="AJ377" s="1">
        <v>1971</v>
      </c>
      <c r="AK377" s="1" t="s">
        <v>50</v>
      </c>
      <c r="AL377" s="1">
        <v>226</v>
      </c>
    </row>
    <row r="378" spans="1:39" x14ac:dyDescent="0.2">
      <c r="A378" s="2" t="str">
        <f>HYPERLINK("https://www.compass.com/listing/175-west-95th-street-unit-6e-manhattan-ny-10025/172282203814770817/","175 W 95th St, Unit 6E")</f>
        <v>175 W 95th St, Unit 6E</v>
      </c>
      <c r="B378" s="2" t="str">
        <f t="shared" si="59"/>
        <v>175 W 95th</v>
      </c>
      <c r="C378" s="1" t="s">
        <v>47</v>
      </c>
      <c r="D378" s="1" t="s">
        <v>41</v>
      </c>
      <c r="E378" s="3">
        <v>1600000</v>
      </c>
      <c r="F378" s="1">
        <v>1663.20166320166</v>
      </c>
      <c r="G378" s="1">
        <v>5</v>
      </c>
      <c r="H378" s="1">
        <v>2</v>
      </c>
      <c r="I378" s="1">
        <v>2</v>
      </c>
      <c r="J378" s="1">
        <v>2</v>
      </c>
      <c r="K378" s="1">
        <v>2</v>
      </c>
      <c r="M378" s="1">
        <v>962</v>
      </c>
      <c r="N378" s="1">
        <v>1004</v>
      </c>
      <c r="O378" s="1">
        <v>1611</v>
      </c>
      <c r="P378" s="1">
        <v>607</v>
      </c>
      <c r="Q378" s="1" t="s">
        <v>42</v>
      </c>
      <c r="S378" s="1" t="s">
        <v>42</v>
      </c>
      <c r="T378" s="1" t="s">
        <v>203</v>
      </c>
      <c r="U378" s="1">
        <v>62</v>
      </c>
      <c r="V378" s="5">
        <v>43620</v>
      </c>
      <c r="W378" s="5">
        <v>43491</v>
      </c>
      <c r="X378" s="1">
        <v>1669500</v>
      </c>
      <c r="Y378" s="1">
        <v>1669500</v>
      </c>
      <c r="Z378" s="5">
        <v>43553</v>
      </c>
      <c r="AA378" s="1">
        <v>1600000</v>
      </c>
      <c r="AB378" s="1" t="s">
        <v>208</v>
      </c>
      <c r="AC378" s="5">
        <v>43600</v>
      </c>
      <c r="AF378" s="1">
        <v>10025</v>
      </c>
      <c r="AI378" s="1" t="s">
        <v>163</v>
      </c>
      <c r="AJ378" s="1">
        <v>1971</v>
      </c>
      <c r="AK378" s="1" t="s">
        <v>81</v>
      </c>
      <c r="AL378" s="1">
        <v>226</v>
      </c>
    </row>
    <row r="379" spans="1:39" x14ac:dyDescent="0.2">
      <c r="A379" s="2" t="str">
        <f>HYPERLINK("https://www.compass.com/listing/175-west-95th-street-unit-23g-manhattan-ny-10025/172287636017271633/","175 W 95th St, Unit 23G")</f>
        <v>175 W 95th St, Unit 23G</v>
      </c>
      <c r="B379" s="2" t="str">
        <f t="shared" si="59"/>
        <v>175 W 95th</v>
      </c>
      <c r="C379" s="1" t="s">
        <v>47</v>
      </c>
      <c r="D379" s="1" t="s">
        <v>41</v>
      </c>
      <c r="E379" s="3">
        <v>1650000</v>
      </c>
      <c r="F379" s="1">
        <v>1715.1767151767101</v>
      </c>
      <c r="G379" s="1">
        <v>5</v>
      </c>
      <c r="H379" s="1">
        <v>2</v>
      </c>
      <c r="I379" s="1">
        <v>2</v>
      </c>
      <c r="J379" s="1">
        <v>2</v>
      </c>
      <c r="K379" s="1">
        <v>2</v>
      </c>
      <c r="M379" s="1">
        <v>962</v>
      </c>
      <c r="N379" s="1">
        <v>1080</v>
      </c>
      <c r="O379" s="1">
        <v>1733</v>
      </c>
      <c r="P379" s="1">
        <v>653</v>
      </c>
      <c r="Q379" s="1" t="s">
        <v>42</v>
      </c>
      <c r="S379" s="1" t="s">
        <v>42</v>
      </c>
      <c r="T379" s="1" t="s">
        <v>203</v>
      </c>
      <c r="U379" s="1">
        <v>126</v>
      </c>
      <c r="V379" s="5">
        <v>43705</v>
      </c>
      <c r="W379" s="5">
        <v>43491</v>
      </c>
      <c r="X379" s="1">
        <v>1858500</v>
      </c>
      <c r="Y379" s="1">
        <v>1795000</v>
      </c>
      <c r="Z379" s="5">
        <v>43617</v>
      </c>
      <c r="AA379" s="1">
        <v>1650000</v>
      </c>
      <c r="AB379" s="1" t="s">
        <v>209</v>
      </c>
      <c r="AC379" s="5">
        <v>43679</v>
      </c>
      <c r="AF379" s="1">
        <v>10025</v>
      </c>
      <c r="AI379" s="1" t="s">
        <v>163</v>
      </c>
      <c r="AJ379" s="1">
        <v>1971</v>
      </c>
      <c r="AK379" s="1" t="s">
        <v>81</v>
      </c>
      <c r="AL379" s="1">
        <v>226</v>
      </c>
    </row>
    <row r="380" spans="1:39" x14ac:dyDescent="0.2">
      <c r="A380" s="2" t="str">
        <f>HYPERLINK("https://www.compass.com/listing/175-west-95th-street-unit-18e-manhattan-ny-10025/697656680508186041/","175 W 95th St, Unit 18E")</f>
        <v>175 W 95th St, Unit 18E</v>
      </c>
      <c r="B380" s="2" t="str">
        <f t="shared" si="59"/>
        <v>175 W 95th</v>
      </c>
      <c r="C380" s="1" t="s">
        <v>47</v>
      </c>
      <c r="D380" s="1" t="s">
        <v>41</v>
      </c>
      <c r="E380" s="3">
        <v>1650000</v>
      </c>
      <c r="F380" s="1">
        <v>1715.1767151767101</v>
      </c>
      <c r="G380" s="1">
        <v>5</v>
      </c>
      <c r="H380" s="1">
        <v>2</v>
      </c>
      <c r="I380" s="1">
        <v>2</v>
      </c>
      <c r="J380" s="1">
        <v>2</v>
      </c>
      <c r="K380" s="1">
        <v>2</v>
      </c>
      <c r="M380" s="1">
        <v>962</v>
      </c>
      <c r="N380" s="1">
        <v>1060.72</v>
      </c>
      <c r="O380" s="1">
        <v>1889.66</v>
      </c>
      <c r="P380" s="1">
        <v>828.91666666666595</v>
      </c>
      <c r="Q380" s="1" t="s">
        <v>42</v>
      </c>
      <c r="S380" s="1" t="s">
        <v>42</v>
      </c>
      <c r="T380" s="1" t="s">
        <v>203</v>
      </c>
      <c r="U380" s="1">
        <v>64</v>
      </c>
      <c r="V380" s="5">
        <v>44340</v>
      </c>
      <c r="W380" s="5">
        <v>44216</v>
      </c>
      <c r="X380" s="1">
        <v>1725000</v>
      </c>
      <c r="Y380" s="1">
        <v>1725000</v>
      </c>
      <c r="Z380" s="5">
        <v>44281</v>
      </c>
      <c r="AA380" s="1">
        <v>1650000</v>
      </c>
      <c r="AB380" s="1" t="s">
        <v>210</v>
      </c>
      <c r="AC380" s="5">
        <v>44336</v>
      </c>
      <c r="AF380" s="1">
        <v>10025</v>
      </c>
      <c r="AI380" s="1" t="s">
        <v>51</v>
      </c>
      <c r="AJ380" s="1">
        <v>1971</v>
      </c>
      <c r="AK380" s="1" t="s">
        <v>50</v>
      </c>
      <c r="AL380" s="1">
        <v>226</v>
      </c>
    </row>
    <row r="381" spans="1:39" x14ac:dyDescent="0.2">
      <c r="A381" s="2" t="str">
        <f>HYPERLINK("https://www.compass.com/listing/175-west-95th-street-unit-8g-manhattan-ny-10025/29514271314536897/","175 W 95th St, Unit 8G")</f>
        <v>175 W 95th St, Unit 8G</v>
      </c>
      <c r="B381" s="2" t="str">
        <f t="shared" si="59"/>
        <v>175 W 95th</v>
      </c>
      <c r="C381" s="1" t="s">
        <v>47</v>
      </c>
      <c r="D381" s="1" t="s">
        <v>41</v>
      </c>
      <c r="E381" s="3">
        <v>1575000</v>
      </c>
      <c r="F381" s="1">
        <v>1637.21413721413</v>
      </c>
      <c r="G381" s="1">
        <v>5</v>
      </c>
      <c r="H381" s="1">
        <v>2</v>
      </c>
      <c r="I381" s="1">
        <v>2</v>
      </c>
      <c r="J381" s="1">
        <v>2</v>
      </c>
      <c r="M381" s="1">
        <v>962</v>
      </c>
      <c r="N381" s="1">
        <v>1008</v>
      </c>
      <c r="O381" s="1">
        <v>1617</v>
      </c>
      <c r="P381" s="1">
        <v>609</v>
      </c>
      <c r="Q381" s="1" t="s">
        <v>42</v>
      </c>
      <c r="S381" s="1" t="s">
        <v>42</v>
      </c>
      <c r="T381" s="1" t="s">
        <v>203</v>
      </c>
      <c r="U381" s="1">
        <v>104</v>
      </c>
      <c r="V381" s="5">
        <v>43422</v>
      </c>
      <c r="W381" s="5">
        <v>43180</v>
      </c>
      <c r="X381" s="1">
        <v>1659000</v>
      </c>
      <c r="Y381" s="1">
        <v>1575000</v>
      </c>
      <c r="Z381" s="5">
        <v>43285</v>
      </c>
      <c r="AA381" s="1">
        <v>1575000</v>
      </c>
      <c r="AB381" s="1" t="s">
        <v>211</v>
      </c>
      <c r="AC381" s="5">
        <v>43391</v>
      </c>
      <c r="AF381" s="1">
        <v>10025</v>
      </c>
      <c r="AI381" s="1" t="s">
        <v>49</v>
      </c>
      <c r="AJ381" s="1">
        <v>1971</v>
      </c>
      <c r="AK381" s="1" t="s">
        <v>81</v>
      </c>
      <c r="AL381" s="1">
        <v>226</v>
      </c>
    </row>
    <row r="382" spans="1:39" x14ac:dyDescent="0.2">
      <c r="A382" s="2" t="str">
        <f>HYPERLINK("https://www.compass.com/listing/175-west-95th-street-unit-25e-manhattan-ny-10025/446388223347544489/","175 W 95th St, Unit 25E")</f>
        <v>175 W 95th St, Unit 25E</v>
      </c>
      <c r="B382" s="2" t="str">
        <f t="shared" si="59"/>
        <v>175 W 95th</v>
      </c>
      <c r="C382" s="1" t="s">
        <v>47</v>
      </c>
      <c r="D382" s="1" t="s">
        <v>41</v>
      </c>
      <c r="E382" s="3">
        <v>1800000</v>
      </c>
      <c r="F382" s="1">
        <v>1871.1018711018701</v>
      </c>
      <c r="G382" s="1">
        <v>6</v>
      </c>
      <c r="H382" s="1">
        <v>2</v>
      </c>
      <c r="I382" s="1">
        <v>2</v>
      </c>
      <c r="J382" s="1">
        <v>2</v>
      </c>
      <c r="K382" s="1">
        <v>2</v>
      </c>
      <c r="M382" s="1">
        <v>962</v>
      </c>
      <c r="N382" s="1">
        <v>1096</v>
      </c>
      <c r="O382" s="1">
        <v>2017</v>
      </c>
      <c r="P382" s="1">
        <v>921</v>
      </c>
      <c r="Q382" s="1" t="s">
        <v>42</v>
      </c>
      <c r="S382" s="1" t="s">
        <v>42</v>
      </c>
      <c r="T382" s="1" t="s">
        <v>203</v>
      </c>
      <c r="V382" s="5">
        <v>43979</v>
      </c>
      <c r="W382" s="5">
        <v>43868</v>
      </c>
      <c r="X382" s="1">
        <v>1800000</v>
      </c>
      <c r="Y382" s="1">
        <v>1800000</v>
      </c>
      <c r="Z382" s="5">
        <v>43868</v>
      </c>
      <c r="AA382" s="1">
        <v>1800000</v>
      </c>
      <c r="AB382" s="1" t="s">
        <v>212</v>
      </c>
      <c r="AC382" s="5">
        <v>43966</v>
      </c>
      <c r="AF382" s="1">
        <v>10025</v>
      </c>
      <c r="AI382" s="1" t="s">
        <v>52</v>
      </c>
      <c r="AJ382" s="1">
        <v>1971</v>
      </c>
      <c r="AK382" s="1" t="s">
        <v>50</v>
      </c>
      <c r="AL382" s="1">
        <v>226</v>
      </c>
    </row>
    <row r="383" spans="1:39" x14ac:dyDescent="0.2">
      <c r="A383" s="2" t="str">
        <f>HYPERLINK("https://www.compass.com/listing/175-west-95th-street-unit-12f-manhattan-ny-10025/568129334437652401/","175 W 95th St, Unit 12F")</f>
        <v>175 W 95th St, Unit 12F</v>
      </c>
      <c r="B383" s="2" t="str">
        <f t="shared" si="59"/>
        <v>175 W 95th</v>
      </c>
      <c r="C383" s="1" t="s">
        <v>47</v>
      </c>
      <c r="D383" s="1" t="s">
        <v>41</v>
      </c>
      <c r="E383" s="3">
        <v>1425000</v>
      </c>
      <c r="G383" s="1">
        <v>5</v>
      </c>
      <c r="H383" s="1">
        <v>2</v>
      </c>
      <c r="I383" s="1">
        <v>2</v>
      </c>
      <c r="J383" s="1">
        <v>2</v>
      </c>
      <c r="K383" s="1">
        <v>2</v>
      </c>
      <c r="N383" s="1">
        <v>1016</v>
      </c>
      <c r="O383" s="1">
        <v>1868</v>
      </c>
      <c r="P383" s="1">
        <v>852</v>
      </c>
      <c r="Q383" s="1" t="s">
        <v>42</v>
      </c>
      <c r="S383" s="1" t="s">
        <v>42</v>
      </c>
      <c r="T383" s="1" t="s">
        <v>203</v>
      </c>
      <c r="U383" s="1">
        <v>196</v>
      </c>
      <c r="V383" s="5">
        <v>44301</v>
      </c>
      <c r="W383" s="5">
        <v>44036</v>
      </c>
      <c r="X383" s="1">
        <v>1575000</v>
      </c>
      <c r="Y383" s="1">
        <v>1575000</v>
      </c>
      <c r="Z383" s="5">
        <v>44233</v>
      </c>
      <c r="AA383" s="1">
        <v>1425000</v>
      </c>
      <c r="AB383" s="1" t="s">
        <v>213</v>
      </c>
      <c r="AC383" s="5">
        <v>44295</v>
      </c>
      <c r="AF383" s="1">
        <v>10025</v>
      </c>
      <c r="AI383" s="1" t="s">
        <v>52</v>
      </c>
      <c r="AJ383" s="1">
        <v>1971</v>
      </c>
      <c r="AK383" s="1" t="s">
        <v>81</v>
      </c>
      <c r="AL383" s="1">
        <v>226</v>
      </c>
    </row>
    <row r="384" spans="1:39" x14ac:dyDescent="0.2">
      <c r="A384" s="2" t="str">
        <f>HYPERLINK("https://www.compass.com/listing/175-west-95th-street-unit-18e-manhattan-ny-10025/97514913265672033/","175 W 95th St, Unit 18E")</f>
        <v>175 W 95th St, Unit 18E</v>
      </c>
      <c r="B384" s="2" t="str">
        <f t="shared" si="59"/>
        <v>175 W 95th</v>
      </c>
      <c r="C384" s="1" t="s">
        <v>47</v>
      </c>
      <c r="D384" s="1" t="s">
        <v>41</v>
      </c>
      <c r="E384" s="3">
        <v>1785000</v>
      </c>
      <c r="F384" s="1">
        <v>1855.5093555093499</v>
      </c>
      <c r="G384" s="1">
        <v>5</v>
      </c>
      <c r="H384" s="1">
        <v>2</v>
      </c>
      <c r="I384" s="1">
        <v>2</v>
      </c>
      <c r="J384" s="1">
        <v>2</v>
      </c>
      <c r="K384" s="1">
        <v>2</v>
      </c>
      <c r="M384" s="1">
        <v>962</v>
      </c>
      <c r="N384" s="1">
        <v>1061</v>
      </c>
      <c r="O384" s="1">
        <v>1702</v>
      </c>
      <c r="P384" s="1">
        <v>641</v>
      </c>
      <c r="Q384" s="1" t="s">
        <v>42</v>
      </c>
      <c r="S384" s="1" t="s">
        <v>42</v>
      </c>
      <c r="T384" s="1" t="s">
        <v>203</v>
      </c>
      <c r="V384" s="5">
        <v>43538</v>
      </c>
      <c r="W384" s="5">
        <v>43386</v>
      </c>
      <c r="X384" s="1">
        <v>1785000</v>
      </c>
      <c r="Y384" s="1">
        <v>1741799</v>
      </c>
      <c r="Z384" s="5">
        <v>43386</v>
      </c>
      <c r="AA384" s="1">
        <v>1785000</v>
      </c>
      <c r="AB384" s="1" t="s">
        <v>214</v>
      </c>
      <c r="AC384" s="5">
        <v>43522</v>
      </c>
      <c r="AF384" s="1">
        <v>10025</v>
      </c>
      <c r="AI384" s="1" t="s">
        <v>52</v>
      </c>
      <c r="AJ384" s="1">
        <v>1971</v>
      </c>
      <c r="AK384" s="1" t="s">
        <v>81</v>
      </c>
      <c r="AL384" s="1">
        <v>226</v>
      </c>
    </row>
    <row r="385" spans="1:38" x14ac:dyDescent="0.2">
      <c r="A385" s="2" t="str">
        <f>HYPERLINK("https://www.compass.com/listing/30-park-place-unit-41c-manhattan-ny-10007/374533283517577713/","30 Park Pl, Unit 41C")</f>
        <v>30 Park Pl, Unit 41C</v>
      </c>
      <c r="B385" s="2" t="str">
        <f>HYPERLINK("https://www.compass.com/building/30-park-pl-manhattan-ny-10007/281896912905317605/","30 Park Pl")</f>
        <v>30 Park Pl</v>
      </c>
      <c r="C385" s="1" t="s">
        <v>40</v>
      </c>
      <c r="D385" s="1" t="s">
        <v>41</v>
      </c>
      <c r="E385" s="3">
        <v>2750000</v>
      </c>
      <c r="F385" s="1">
        <v>2481.9494584837498</v>
      </c>
      <c r="G385" s="1">
        <v>4</v>
      </c>
      <c r="H385" s="1">
        <v>1</v>
      </c>
      <c r="I385" s="1">
        <v>2</v>
      </c>
      <c r="J385" s="1">
        <v>1.5</v>
      </c>
      <c r="K385" s="1">
        <v>1</v>
      </c>
      <c r="L385" s="1">
        <v>1</v>
      </c>
      <c r="M385" s="4">
        <v>1108</v>
      </c>
      <c r="N385" s="1">
        <v>918.83</v>
      </c>
      <c r="O385" s="1">
        <v>3299.25</v>
      </c>
      <c r="P385" s="1">
        <v>2380.4166666666601</v>
      </c>
      <c r="S385" s="1" t="s">
        <v>42</v>
      </c>
      <c r="T385" s="1" t="s">
        <v>203</v>
      </c>
      <c r="U385" s="1">
        <v>51</v>
      </c>
      <c r="V385" s="5">
        <v>44172</v>
      </c>
      <c r="W385" s="5">
        <v>43769</v>
      </c>
      <c r="X385" s="1">
        <v>2750000</v>
      </c>
      <c r="Y385" s="1">
        <v>2750000</v>
      </c>
      <c r="Z385" s="5">
        <v>43820</v>
      </c>
      <c r="AA385" s="1">
        <v>2600000</v>
      </c>
      <c r="AB385" s="1" t="s">
        <v>215</v>
      </c>
      <c r="AC385" s="5">
        <v>43889</v>
      </c>
      <c r="AF385" s="1">
        <v>10007</v>
      </c>
      <c r="AI385" s="1" t="s">
        <v>58</v>
      </c>
      <c r="AJ385" s="1">
        <v>2016</v>
      </c>
      <c r="AK385" s="1" t="s">
        <v>50</v>
      </c>
      <c r="AL385" s="1">
        <v>157</v>
      </c>
    </row>
    <row r="386" spans="1:38" x14ac:dyDescent="0.2">
      <c r="A386" s="2" t="str">
        <f>HYPERLINK("https://www.compass.com/listing/175-west-95th-street-unit-15d-manhattan-ny-10025/130964197252009489/","175 W 95th St, Unit 15D")</f>
        <v>175 W 95th St, Unit 15D</v>
      </c>
      <c r="B386" s="2" t="str">
        <f t="shared" ref="B386:B389" si="60">HYPERLINK("https://www.compass.com/building/175-w-95th-manhattan-ny/292876785429866517/","175 W 95th")</f>
        <v>175 W 95th</v>
      </c>
      <c r="C386" s="1" t="s">
        <v>47</v>
      </c>
      <c r="D386" s="1" t="s">
        <v>41</v>
      </c>
      <c r="E386" s="3">
        <v>1122000</v>
      </c>
      <c r="F386" s="1">
        <v>1584.7457627118599</v>
      </c>
      <c r="G386" s="1">
        <v>4</v>
      </c>
      <c r="H386" s="1">
        <v>1</v>
      </c>
      <c r="I386" s="1">
        <v>1</v>
      </c>
      <c r="J386" s="1">
        <v>1</v>
      </c>
      <c r="K386" s="1">
        <v>1</v>
      </c>
      <c r="M386" s="1">
        <v>708</v>
      </c>
      <c r="N386" s="1">
        <v>779</v>
      </c>
      <c r="O386" s="1">
        <v>1327</v>
      </c>
      <c r="P386" s="1">
        <v>548</v>
      </c>
      <c r="Q386" s="1" t="s">
        <v>42</v>
      </c>
      <c r="S386" s="1" t="s">
        <v>42</v>
      </c>
      <c r="T386" s="1" t="s">
        <v>203</v>
      </c>
      <c r="U386" s="1">
        <v>128</v>
      </c>
      <c r="V386" s="5">
        <v>43620</v>
      </c>
      <c r="W386" s="5">
        <v>43438</v>
      </c>
      <c r="X386" s="1">
        <v>1190700</v>
      </c>
      <c r="Y386" s="1">
        <v>1149500</v>
      </c>
      <c r="Z386" s="5">
        <v>43566</v>
      </c>
      <c r="AA386" s="1">
        <v>1122000</v>
      </c>
      <c r="AB386" s="1" t="s">
        <v>216</v>
      </c>
      <c r="AC386" s="5">
        <v>43594</v>
      </c>
      <c r="AF386" s="1">
        <v>10025</v>
      </c>
      <c r="AI386" s="1" t="s">
        <v>49</v>
      </c>
      <c r="AJ386" s="1">
        <v>1971</v>
      </c>
      <c r="AK386" s="1" t="s">
        <v>81</v>
      </c>
      <c r="AL386" s="1">
        <v>226</v>
      </c>
    </row>
    <row r="387" spans="1:38" x14ac:dyDescent="0.2">
      <c r="A387" s="2" t="str">
        <f>HYPERLINK("https://www.compass.com/listing/175-west-95th-street-unit-16d-manhattan-ny-10025/54894139497515041/","175 W 95th St, Unit 16D")</f>
        <v>175 W 95th St, Unit 16D</v>
      </c>
      <c r="B387" s="2" t="str">
        <f t="shared" si="60"/>
        <v>175 W 95th</v>
      </c>
      <c r="C387" s="1" t="s">
        <v>47</v>
      </c>
      <c r="D387" s="1" t="s">
        <v>41</v>
      </c>
      <c r="E387" s="3">
        <v>1142000</v>
      </c>
      <c r="F387" s="1">
        <v>1612.9943502824799</v>
      </c>
      <c r="G387" s="1">
        <v>4</v>
      </c>
      <c r="H387" s="1">
        <v>1</v>
      </c>
      <c r="I387" s="1">
        <v>1</v>
      </c>
      <c r="J387" s="1">
        <v>1</v>
      </c>
      <c r="M387" s="1">
        <v>708</v>
      </c>
      <c r="N387" s="1">
        <v>782</v>
      </c>
      <c r="O387" s="1">
        <v>1255</v>
      </c>
      <c r="P387" s="1">
        <v>473</v>
      </c>
      <c r="Q387" s="1" t="s">
        <v>42</v>
      </c>
      <c r="S387" s="1" t="s">
        <v>42</v>
      </c>
      <c r="T387" s="1" t="s">
        <v>203</v>
      </c>
      <c r="U387" s="1">
        <v>102</v>
      </c>
      <c r="V387" s="5">
        <v>43454</v>
      </c>
      <c r="W387" s="5">
        <v>43330</v>
      </c>
      <c r="X387" s="1">
        <v>1195950</v>
      </c>
      <c r="Y387" s="1">
        <v>1195950</v>
      </c>
      <c r="Z387" s="5">
        <v>43433</v>
      </c>
      <c r="AA387" s="1">
        <v>1142000</v>
      </c>
      <c r="AB387" s="1" t="s">
        <v>217</v>
      </c>
      <c r="AC387" s="5">
        <v>43452</v>
      </c>
      <c r="AF387" s="1">
        <v>10025</v>
      </c>
      <c r="AI387" s="1" t="s">
        <v>49</v>
      </c>
      <c r="AJ387" s="1">
        <v>1971</v>
      </c>
      <c r="AK387" s="1" t="s">
        <v>81</v>
      </c>
      <c r="AL387" s="1">
        <v>226</v>
      </c>
    </row>
    <row r="388" spans="1:38" x14ac:dyDescent="0.2">
      <c r="A388" s="2" t="str">
        <f>HYPERLINK("https://www.compass.com/listing/175-west-95th-street-unit-7a-manhattan-ny-10025/4852352583886442065/","175 W 95th St, Unit 7A")</f>
        <v>175 W 95th St, Unit 7A</v>
      </c>
      <c r="B388" s="2" t="str">
        <f t="shared" si="60"/>
        <v>175 W 95th</v>
      </c>
      <c r="C388" s="1" t="s">
        <v>47</v>
      </c>
      <c r="D388" s="1" t="s">
        <v>41</v>
      </c>
      <c r="E388" s="3">
        <v>1003995</v>
      </c>
      <c r="F388" s="1">
        <v>1563.85436137071</v>
      </c>
      <c r="G388" s="1">
        <v>4</v>
      </c>
      <c r="H388" s="1">
        <v>1</v>
      </c>
      <c r="J388" s="1">
        <v>1</v>
      </c>
      <c r="M388" s="1">
        <v>642</v>
      </c>
      <c r="N388" s="1">
        <v>682</v>
      </c>
      <c r="O388" s="1">
        <v>1094</v>
      </c>
      <c r="P388" s="1">
        <v>412</v>
      </c>
      <c r="Q388" s="1" t="s">
        <v>42</v>
      </c>
      <c r="S388" s="1" t="s">
        <v>42</v>
      </c>
      <c r="T388" s="1" t="s">
        <v>203</v>
      </c>
      <c r="U388" s="1">
        <v>15</v>
      </c>
      <c r="V388" s="5">
        <v>43120</v>
      </c>
      <c r="W388" s="5">
        <v>43067</v>
      </c>
      <c r="X388" s="1">
        <v>986000</v>
      </c>
      <c r="Y388" s="1">
        <v>986000</v>
      </c>
      <c r="Z388" s="5">
        <v>43085</v>
      </c>
      <c r="AA388" s="1">
        <v>1003994.5</v>
      </c>
      <c r="AB388" s="1" t="s">
        <v>218</v>
      </c>
      <c r="AC388" s="5">
        <v>43119</v>
      </c>
      <c r="AF388" s="1">
        <v>10025</v>
      </c>
      <c r="AI388" s="1" t="s">
        <v>49</v>
      </c>
      <c r="AJ388" s="1">
        <v>1971</v>
      </c>
      <c r="AK388" s="1" t="s">
        <v>50</v>
      </c>
      <c r="AL388" s="1">
        <v>226</v>
      </c>
    </row>
    <row r="389" spans="1:38" x14ac:dyDescent="0.2">
      <c r="A389" s="2" t="str">
        <f>HYPERLINK("https://www.compass.com/listing/175-west-95th-street-unit-20e-manhattan-ny-10025/29514271012488817/","175 W 95th St, Unit 20E")</f>
        <v>175 W 95th St, Unit 20E</v>
      </c>
      <c r="B389" s="2" t="str">
        <f t="shared" si="60"/>
        <v>175 W 95th</v>
      </c>
      <c r="C389" s="1" t="s">
        <v>47</v>
      </c>
      <c r="D389" s="1" t="s">
        <v>41</v>
      </c>
      <c r="E389" s="3">
        <v>1775000</v>
      </c>
      <c r="F389" s="1">
        <v>1845.11434511434</v>
      </c>
      <c r="G389" s="1">
        <v>5</v>
      </c>
      <c r="H389" s="1">
        <v>2</v>
      </c>
      <c r="J389" s="1">
        <v>2</v>
      </c>
      <c r="M389" s="1">
        <v>962</v>
      </c>
      <c r="N389" s="1">
        <v>1071</v>
      </c>
      <c r="O389" s="1">
        <v>1718</v>
      </c>
      <c r="P389" s="1">
        <v>647</v>
      </c>
      <c r="Q389" s="1" t="s">
        <v>42</v>
      </c>
      <c r="S389" s="1" t="s">
        <v>42</v>
      </c>
      <c r="T389" s="1" t="s">
        <v>203</v>
      </c>
      <c r="V389" s="5">
        <v>43325</v>
      </c>
      <c r="Y389" s="1">
        <v>1850000</v>
      </c>
      <c r="Z389" s="5">
        <v>43221</v>
      </c>
      <c r="AA389" s="1">
        <v>1775000</v>
      </c>
      <c r="AB389" s="1" t="s">
        <v>219</v>
      </c>
      <c r="AC389" s="5">
        <v>43311</v>
      </c>
      <c r="AF389" s="1">
        <v>10025</v>
      </c>
      <c r="AI389" s="1" t="s">
        <v>51</v>
      </c>
      <c r="AJ389" s="1">
        <v>1971</v>
      </c>
      <c r="AK389" s="1" t="s">
        <v>50</v>
      </c>
      <c r="AL389" s="1">
        <v>226</v>
      </c>
    </row>
    <row r="390" spans="1:38" x14ac:dyDescent="0.2">
      <c r="A390" s="2" t="str">
        <f>HYPERLINK("https://www.compass.com/listing/146-church-street-unit-6-manhattan-ny-10007/611633579428146473/","146 Church St, Unit 6")</f>
        <v>146 Church St, Unit 6</v>
      </c>
      <c r="B390" s="2" t="str">
        <f t="shared" ref="B390:B392" si="61">HYPERLINK("https://www.compass.com/building/rogue-manhattan-ny/282060065869954789/","Rogue")</f>
        <v>Rogue</v>
      </c>
      <c r="C390" s="1" t="s">
        <v>40</v>
      </c>
      <c r="D390" s="1" t="s">
        <v>41</v>
      </c>
      <c r="E390" s="3">
        <v>2725000</v>
      </c>
      <c r="F390" s="1">
        <v>1479.3702497285501</v>
      </c>
      <c r="G390" s="1">
        <v>3</v>
      </c>
      <c r="H390" s="1">
        <v>3</v>
      </c>
      <c r="I390" s="1">
        <v>2</v>
      </c>
      <c r="J390" s="1">
        <v>2</v>
      </c>
      <c r="K390" s="1">
        <v>2</v>
      </c>
      <c r="M390" s="4">
        <v>1842</v>
      </c>
      <c r="N390" s="1">
        <v>2194</v>
      </c>
      <c r="O390" s="1">
        <v>3449</v>
      </c>
      <c r="P390" s="1">
        <v>1255</v>
      </c>
      <c r="Q390" s="1" t="s">
        <v>42</v>
      </c>
      <c r="S390" s="1" t="s">
        <v>42</v>
      </c>
      <c r="T390" s="1" t="s">
        <v>203</v>
      </c>
      <c r="U390" s="1">
        <v>13</v>
      </c>
      <c r="V390" s="5">
        <v>44109</v>
      </c>
      <c r="W390" s="5">
        <v>44096</v>
      </c>
      <c r="X390" s="1">
        <v>3200000</v>
      </c>
      <c r="Y390" s="1">
        <v>3200000</v>
      </c>
      <c r="Z390" s="5">
        <v>44109</v>
      </c>
      <c r="AA390" s="1">
        <v>2725000</v>
      </c>
      <c r="AB390" s="1" t="s">
        <v>220</v>
      </c>
      <c r="AC390" s="5">
        <v>44246</v>
      </c>
      <c r="AF390" s="1">
        <v>10007</v>
      </c>
      <c r="AI390" s="1" t="s">
        <v>221</v>
      </c>
      <c r="AJ390" s="1">
        <v>2019</v>
      </c>
      <c r="AL390" s="1">
        <v>8</v>
      </c>
    </row>
    <row r="391" spans="1:38" x14ac:dyDescent="0.2">
      <c r="A391" s="2" t="str">
        <f>HYPERLINK("https://www.compass.com/listing/146-church-street-unit-2-manhattan-ny-10007/611634101260577441/","146 Church St, Unit 2")</f>
        <v>146 Church St, Unit 2</v>
      </c>
      <c r="B391" s="2" t="str">
        <f t="shared" si="61"/>
        <v>Rogue</v>
      </c>
      <c r="C391" s="1" t="s">
        <v>40</v>
      </c>
      <c r="D391" s="1" t="s">
        <v>41</v>
      </c>
      <c r="E391" s="3">
        <v>2550000</v>
      </c>
      <c r="F391" s="1">
        <v>1384.3648208469001</v>
      </c>
      <c r="G391" s="1">
        <v>3</v>
      </c>
      <c r="H391" s="1">
        <v>3</v>
      </c>
      <c r="I391" s="1">
        <v>2</v>
      </c>
      <c r="J391" s="1">
        <v>2</v>
      </c>
      <c r="K391" s="1">
        <v>2</v>
      </c>
      <c r="M391" s="4">
        <v>1842</v>
      </c>
      <c r="N391" s="1">
        <v>2194</v>
      </c>
      <c r="O391" s="1">
        <v>3449</v>
      </c>
      <c r="P391" s="1">
        <v>1255</v>
      </c>
      <c r="Q391" s="1" t="s">
        <v>42</v>
      </c>
      <c r="S391" s="1" t="s">
        <v>42</v>
      </c>
      <c r="T391" s="1" t="s">
        <v>203</v>
      </c>
      <c r="U391" s="1">
        <v>114</v>
      </c>
      <c r="V391" s="5">
        <v>44291</v>
      </c>
      <c r="W391" s="5">
        <v>44096</v>
      </c>
      <c r="X391" s="1">
        <v>2800000</v>
      </c>
      <c r="Y391" s="1">
        <v>2750000</v>
      </c>
      <c r="Z391" s="5">
        <v>44210</v>
      </c>
      <c r="AA391" s="1">
        <v>2550000</v>
      </c>
      <c r="AB391" s="1" t="s">
        <v>222</v>
      </c>
      <c r="AC391" s="5">
        <v>44286</v>
      </c>
      <c r="AF391" s="1">
        <v>10007</v>
      </c>
      <c r="AI391" s="1" t="s">
        <v>221</v>
      </c>
      <c r="AJ391" s="1">
        <v>2019</v>
      </c>
      <c r="AL391" s="1">
        <v>8</v>
      </c>
    </row>
    <row r="392" spans="1:38" x14ac:dyDescent="0.2">
      <c r="A392" s="2" t="str">
        <f>HYPERLINK("https://www.compass.com/listing/146-church-street-unit-8-manhattan-ny-10007/611634983465213345/","146 Church St, Unit 8")</f>
        <v>146 Church St, Unit 8</v>
      </c>
      <c r="B392" s="2" t="str">
        <f t="shared" si="61"/>
        <v>Rogue</v>
      </c>
      <c r="C392" s="1" t="s">
        <v>40</v>
      </c>
      <c r="D392" s="1" t="s">
        <v>41</v>
      </c>
      <c r="E392" s="3">
        <v>2187500</v>
      </c>
      <c r="F392" s="1">
        <v>1469.10678307588</v>
      </c>
      <c r="G392" s="1">
        <v>3</v>
      </c>
      <c r="H392" s="1">
        <v>2</v>
      </c>
      <c r="I392" s="1">
        <v>2</v>
      </c>
      <c r="J392" s="1">
        <v>2</v>
      </c>
      <c r="K392" s="1">
        <v>2</v>
      </c>
      <c r="M392" s="4">
        <v>1489</v>
      </c>
      <c r="N392" s="1">
        <v>1774</v>
      </c>
      <c r="O392" s="1">
        <v>2788</v>
      </c>
      <c r="P392" s="1">
        <v>1014</v>
      </c>
      <c r="Q392" s="1" t="s">
        <v>42</v>
      </c>
      <c r="S392" s="1" t="s">
        <v>42</v>
      </c>
      <c r="T392" s="1" t="s">
        <v>203</v>
      </c>
      <c r="U392" s="1">
        <v>51</v>
      </c>
      <c r="V392" s="5">
        <v>44225</v>
      </c>
      <c r="W392" s="5">
        <v>44096</v>
      </c>
      <c r="X392" s="1">
        <v>2500000</v>
      </c>
      <c r="Y392" s="1">
        <v>2500000</v>
      </c>
      <c r="Z392" s="5">
        <v>44148</v>
      </c>
      <c r="AA392" s="1">
        <v>2187500</v>
      </c>
      <c r="AB392" s="1" t="s">
        <v>223</v>
      </c>
      <c r="AC392" s="5">
        <v>44218</v>
      </c>
      <c r="AF392" s="1">
        <v>10007</v>
      </c>
      <c r="AI392" s="1" t="s">
        <v>221</v>
      </c>
      <c r="AJ392" s="1">
        <v>2019</v>
      </c>
      <c r="AK392" s="1" t="s">
        <v>50</v>
      </c>
      <c r="AL392" s="1">
        <v>8</v>
      </c>
    </row>
    <row r="393" spans="1:38" x14ac:dyDescent="0.2">
      <c r="A393" s="2" t="str">
        <f>HYPERLINK("https://www.compass.com/listing/175-west-95th-street-unit-27h-manhattan-ny-10025/4852352384355022081/","175 W 95th St, Unit 27H")</f>
        <v>175 W 95th St, Unit 27H</v>
      </c>
      <c r="B393" s="2" t="str">
        <f>HYPERLINK("https://www.compass.com/building/175-w-95th-manhattan-ny/292876785429866517/","175 W 95th")</f>
        <v>175 W 95th</v>
      </c>
      <c r="C393" s="1" t="s">
        <v>47</v>
      </c>
      <c r="D393" s="1" t="s">
        <v>41</v>
      </c>
      <c r="E393" s="3">
        <v>908279</v>
      </c>
      <c r="F393" s="1">
        <v>1802.1408730158701</v>
      </c>
      <c r="G393" s="1">
        <v>4</v>
      </c>
      <c r="H393" s="1">
        <v>1</v>
      </c>
      <c r="J393" s="1">
        <v>1</v>
      </c>
      <c r="M393" s="1">
        <v>504</v>
      </c>
      <c r="N393" s="1">
        <v>591</v>
      </c>
      <c r="O393" s="1">
        <v>948</v>
      </c>
      <c r="P393" s="1">
        <v>357</v>
      </c>
      <c r="Q393" s="1" t="s">
        <v>42</v>
      </c>
      <c r="S393" s="1" t="s">
        <v>42</v>
      </c>
      <c r="T393" s="1" t="s">
        <v>203</v>
      </c>
      <c r="U393" s="1">
        <v>15</v>
      </c>
      <c r="V393" s="5">
        <v>43131</v>
      </c>
      <c r="W393" s="5">
        <v>43067</v>
      </c>
      <c r="X393" s="1">
        <v>892000</v>
      </c>
      <c r="Y393" s="1">
        <v>892000</v>
      </c>
      <c r="Z393" s="5">
        <v>43085</v>
      </c>
      <c r="AA393" s="1">
        <v>908279</v>
      </c>
      <c r="AB393" s="1" t="s">
        <v>224</v>
      </c>
      <c r="AC393" s="5">
        <v>43130</v>
      </c>
      <c r="AF393" s="1">
        <v>10025</v>
      </c>
      <c r="AI393" s="1" t="s">
        <v>49</v>
      </c>
      <c r="AJ393" s="1">
        <v>1971</v>
      </c>
      <c r="AK393" s="1" t="s">
        <v>50</v>
      </c>
      <c r="AL393" s="1">
        <v>226</v>
      </c>
    </row>
    <row r="394" spans="1:38" x14ac:dyDescent="0.2">
      <c r="A394" s="2" t="str">
        <f>HYPERLINK("https://www.compass.com/listing/146-church-street-unit-7-manhattan-ny-10007/611635262101376329/","146 Church St, Unit 7")</f>
        <v>146 Church St, Unit 7</v>
      </c>
      <c r="B394" s="2" t="str">
        <f>HYPERLINK("https://www.compass.com/building/rogue-manhattan-ny/282060065869954789/","Rogue")</f>
        <v>Rogue</v>
      </c>
      <c r="C394" s="1" t="s">
        <v>40</v>
      </c>
      <c r="D394" s="1" t="s">
        <v>41</v>
      </c>
      <c r="E394" s="3">
        <v>2300000</v>
      </c>
      <c r="F394" s="1">
        <v>1544.6608462055001</v>
      </c>
      <c r="G394" s="1">
        <v>3</v>
      </c>
      <c r="H394" s="1">
        <v>2</v>
      </c>
      <c r="I394" s="1">
        <v>2</v>
      </c>
      <c r="J394" s="1">
        <v>2</v>
      </c>
      <c r="K394" s="1">
        <v>2</v>
      </c>
      <c r="M394" s="4">
        <v>1489</v>
      </c>
      <c r="N394" s="1">
        <v>1879</v>
      </c>
      <c r="O394" s="1">
        <v>2953</v>
      </c>
      <c r="P394" s="1">
        <v>1074</v>
      </c>
      <c r="Q394" s="1" t="s">
        <v>42</v>
      </c>
      <c r="S394" s="1" t="s">
        <v>42</v>
      </c>
      <c r="T394" s="1" t="s">
        <v>203</v>
      </c>
      <c r="U394" s="1">
        <v>43</v>
      </c>
      <c r="V394" s="5">
        <v>44310</v>
      </c>
      <c r="W394" s="5">
        <v>44097</v>
      </c>
      <c r="X394" s="1">
        <v>2700000</v>
      </c>
      <c r="Y394" s="1">
        <v>2700000</v>
      </c>
      <c r="Z394" s="5">
        <v>44140</v>
      </c>
      <c r="AA394" s="1">
        <v>2300000</v>
      </c>
      <c r="AB394" s="1" t="s">
        <v>225</v>
      </c>
      <c r="AC394" s="5">
        <v>44301</v>
      </c>
      <c r="AF394" s="1">
        <v>10007</v>
      </c>
      <c r="AI394" s="1" t="s">
        <v>226</v>
      </c>
      <c r="AJ394" s="1">
        <v>2019</v>
      </c>
      <c r="AL394" s="1">
        <v>8</v>
      </c>
    </row>
    <row r="395" spans="1:38" x14ac:dyDescent="0.2">
      <c r="A395" s="2" t="str">
        <f>HYPERLINK("https://www.compass.com/listing/175-west-95th-street-unit-8h-manhattan-ny-10025/135404073254933153/","175 W 95th St, Unit 8H")</f>
        <v>175 W 95th St, Unit 8H</v>
      </c>
      <c r="B395" s="2" t="str">
        <f>HYPERLINK("https://www.compass.com/building/175-w-95th-manhattan-ny/292876785429866517/","175 W 95th")</f>
        <v>175 W 95th</v>
      </c>
      <c r="C395" s="1" t="s">
        <v>47</v>
      </c>
      <c r="D395" s="1" t="s">
        <v>41</v>
      </c>
      <c r="E395" s="3">
        <v>860676</v>
      </c>
      <c r="F395" s="1">
        <v>1707.6900992063399</v>
      </c>
      <c r="G395" s="1">
        <v>4</v>
      </c>
      <c r="H395" s="1">
        <v>1</v>
      </c>
      <c r="I395" s="1">
        <v>1</v>
      </c>
      <c r="J395" s="1">
        <v>1</v>
      </c>
      <c r="K395" s="1">
        <v>1</v>
      </c>
      <c r="M395" s="1">
        <v>504</v>
      </c>
      <c r="N395" s="1">
        <v>541</v>
      </c>
      <c r="O395" s="1">
        <v>868</v>
      </c>
      <c r="P395" s="1">
        <v>327</v>
      </c>
      <c r="Q395" s="1" t="s">
        <v>42</v>
      </c>
      <c r="S395" s="1" t="s">
        <v>42</v>
      </c>
      <c r="T395" s="1" t="s">
        <v>203</v>
      </c>
      <c r="V395" s="5">
        <v>43554</v>
      </c>
      <c r="W395" s="5">
        <v>43439</v>
      </c>
      <c r="X395" s="1">
        <v>845250</v>
      </c>
      <c r="Y395" s="1">
        <v>845250</v>
      </c>
      <c r="Z395" s="5">
        <v>43439</v>
      </c>
      <c r="AA395" s="1">
        <v>860675.81</v>
      </c>
      <c r="AB395" s="1" t="s">
        <v>227</v>
      </c>
      <c r="AC395" s="5">
        <v>43553</v>
      </c>
      <c r="AF395" s="1">
        <v>10025</v>
      </c>
      <c r="AI395" s="1" t="s">
        <v>49</v>
      </c>
      <c r="AJ395" s="1">
        <v>1971</v>
      </c>
      <c r="AK395" s="1" t="s">
        <v>81</v>
      </c>
      <c r="AL395" s="1">
        <v>226</v>
      </c>
    </row>
    <row r="396" spans="1:38" x14ac:dyDescent="0.2">
      <c r="A396" s="2" t="str">
        <f>HYPERLINK("https://www.compass.com/listing/421-west-22nd-street-unit-2f-manhattan-ny-10011/586749640190603745/","421 W 22nd St, Unit 2F")</f>
        <v>421 W 22nd St, Unit 2F</v>
      </c>
      <c r="B396" s="2" t="str">
        <f>HYPERLINK("https://www.compass.com/building/421-w-22nd-st-manhattan-ny-10011/281910201349594997/","421 W 22nd St")</f>
        <v>421 W 22nd St</v>
      </c>
      <c r="C396" s="1" t="s">
        <v>62</v>
      </c>
      <c r="D396" s="1" t="s">
        <v>41</v>
      </c>
      <c r="E396" s="3">
        <v>840000</v>
      </c>
      <c r="G396" s="1">
        <v>2</v>
      </c>
      <c r="H396" s="1" t="s">
        <v>69</v>
      </c>
      <c r="I396" s="1">
        <v>1</v>
      </c>
      <c r="J396" s="1">
        <v>1</v>
      </c>
      <c r="K396" s="1">
        <v>1</v>
      </c>
      <c r="N396" s="1">
        <v>307.47000000000003</v>
      </c>
      <c r="O396" s="1">
        <v>702.47</v>
      </c>
      <c r="P396" s="1">
        <v>395</v>
      </c>
      <c r="Q396" s="1" t="s">
        <v>42</v>
      </c>
      <c r="S396" s="1" t="s">
        <v>42</v>
      </c>
      <c r="T396" s="1" t="s">
        <v>203</v>
      </c>
      <c r="U396" s="1">
        <v>36</v>
      </c>
      <c r="V396" s="5">
        <v>44156</v>
      </c>
      <c r="W396" s="5">
        <v>44061</v>
      </c>
      <c r="X396" s="1">
        <v>875000</v>
      </c>
      <c r="Y396" s="1">
        <v>875000</v>
      </c>
      <c r="Z396" s="5">
        <v>44098</v>
      </c>
      <c r="AA396" s="1">
        <v>840000</v>
      </c>
      <c r="AB396" s="1" t="s">
        <v>228</v>
      </c>
      <c r="AC396" s="5">
        <v>44148</v>
      </c>
      <c r="AF396" s="1">
        <v>10011</v>
      </c>
      <c r="AI396" s="1" t="s">
        <v>73</v>
      </c>
      <c r="AJ396" s="1">
        <v>1900</v>
      </c>
      <c r="AL396" s="1">
        <v>8</v>
      </c>
    </row>
    <row r="397" spans="1:38" x14ac:dyDescent="0.2">
      <c r="A397" s="2" t="str">
        <f>HYPERLINK("https://www.compass.com/listing/175-west-95th-street-unit-17j-manhattan-ny-10025/333099905669310945/","175 W 95th St, Unit 17J")</f>
        <v>175 W 95th St, Unit 17J</v>
      </c>
      <c r="B397" s="2" t="str">
        <f t="shared" ref="B397:B399" si="62">HYPERLINK("https://www.compass.com/building/175-w-95th-manhattan-ny/292876785429866517/","175 W 95th")</f>
        <v>175 W 95th</v>
      </c>
      <c r="C397" s="1" t="s">
        <v>47</v>
      </c>
      <c r="D397" s="1" t="s">
        <v>41</v>
      </c>
      <c r="E397" s="3">
        <v>830000</v>
      </c>
      <c r="F397" s="1">
        <v>1621.09375</v>
      </c>
      <c r="G397" s="1">
        <v>3</v>
      </c>
      <c r="H397" s="1">
        <v>1</v>
      </c>
      <c r="I397" s="1">
        <v>1</v>
      </c>
      <c r="J397" s="1">
        <v>1</v>
      </c>
      <c r="K397" s="1">
        <v>1</v>
      </c>
      <c r="M397" s="1">
        <v>512</v>
      </c>
      <c r="N397" s="1">
        <v>542</v>
      </c>
      <c r="O397" s="1">
        <v>870</v>
      </c>
      <c r="P397" s="1">
        <v>328</v>
      </c>
      <c r="Q397" s="1" t="s">
        <v>42</v>
      </c>
      <c r="S397" s="1" t="s">
        <v>42</v>
      </c>
      <c r="T397" s="1" t="s">
        <v>203</v>
      </c>
      <c r="U397" s="1">
        <v>156</v>
      </c>
      <c r="V397" s="5">
        <v>43868</v>
      </c>
      <c r="W397" s="5">
        <v>43711</v>
      </c>
      <c r="X397" s="1">
        <v>866250</v>
      </c>
      <c r="Y397" s="1">
        <v>866250</v>
      </c>
      <c r="Z397" s="5">
        <v>43868</v>
      </c>
      <c r="AA397" s="1">
        <v>830000</v>
      </c>
      <c r="AB397" s="1" t="s">
        <v>229</v>
      </c>
      <c r="AC397" s="5">
        <v>43915</v>
      </c>
      <c r="AF397" s="1">
        <v>10025</v>
      </c>
      <c r="AI397" s="1" t="s">
        <v>52</v>
      </c>
      <c r="AJ397" s="1">
        <v>1971</v>
      </c>
      <c r="AK397" s="1" t="s">
        <v>81</v>
      </c>
      <c r="AL397" s="1">
        <v>226</v>
      </c>
    </row>
    <row r="398" spans="1:38" x14ac:dyDescent="0.2">
      <c r="A398" s="2" t="str">
        <f>HYPERLINK("https://www.compass.com/listing/175-west-95th-street-unit-4d-manhattan-ny-10025/728226406900516305/","175 W 95th St, Unit 4D")</f>
        <v>175 W 95th St, Unit 4D</v>
      </c>
      <c r="B398" s="2" t="str">
        <f t="shared" si="62"/>
        <v>175 W 95th</v>
      </c>
      <c r="C398" s="1" t="s">
        <v>47</v>
      </c>
      <c r="D398" s="1" t="s">
        <v>41</v>
      </c>
      <c r="E398" s="3">
        <v>1078000</v>
      </c>
      <c r="F398" s="1">
        <v>1522.5988700564899</v>
      </c>
      <c r="G398" s="1">
        <v>3</v>
      </c>
      <c r="H398" s="1">
        <v>1</v>
      </c>
      <c r="I398" s="1">
        <v>1</v>
      </c>
      <c r="J398" s="1">
        <v>1</v>
      </c>
      <c r="K398" s="1">
        <v>1</v>
      </c>
      <c r="M398" s="1">
        <v>708</v>
      </c>
      <c r="N398" s="1">
        <v>740</v>
      </c>
      <c r="O398" s="1">
        <v>1299</v>
      </c>
      <c r="P398" s="1">
        <v>559</v>
      </c>
      <c r="Q398" s="1" t="s">
        <v>42</v>
      </c>
      <c r="S398" s="1" t="s">
        <v>42</v>
      </c>
      <c r="T398" s="1" t="s">
        <v>203</v>
      </c>
      <c r="U398" s="1">
        <v>67</v>
      </c>
      <c r="V398" s="5">
        <v>44324</v>
      </c>
      <c r="W398" s="5">
        <v>44257</v>
      </c>
      <c r="X398" s="1">
        <v>1100000</v>
      </c>
      <c r="Y398" s="1">
        <v>1100000</v>
      </c>
      <c r="Z398" s="5">
        <v>44324</v>
      </c>
      <c r="AA398" s="1">
        <v>1078000</v>
      </c>
      <c r="AB398" s="1" t="s">
        <v>230</v>
      </c>
      <c r="AC398" s="5">
        <v>44404</v>
      </c>
      <c r="AF398" s="1">
        <v>10025</v>
      </c>
      <c r="AI398" s="1" t="s">
        <v>163</v>
      </c>
      <c r="AJ398" s="1">
        <v>1971</v>
      </c>
      <c r="AK398" s="1" t="s">
        <v>50</v>
      </c>
      <c r="AL398" s="1">
        <v>226</v>
      </c>
    </row>
    <row r="399" spans="1:38" x14ac:dyDescent="0.2">
      <c r="A399" s="2" t="str">
        <f>HYPERLINK("https://www.compass.com/listing/175-west-95th-street-unit-3j-manhattan-ny-10025/471081033690391113/","175 W 95th St, Unit 3J")</f>
        <v>175 W 95th St, Unit 3J</v>
      </c>
      <c r="B399" s="2" t="str">
        <f t="shared" si="62"/>
        <v>175 W 95th</v>
      </c>
      <c r="C399" s="1" t="s">
        <v>47</v>
      </c>
      <c r="D399" s="1" t="s">
        <v>41</v>
      </c>
      <c r="E399" s="3">
        <v>768000</v>
      </c>
      <c r="F399" s="1">
        <v>1500</v>
      </c>
      <c r="G399" s="1">
        <v>3</v>
      </c>
      <c r="H399" s="1">
        <v>1</v>
      </c>
      <c r="I399" s="1">
        <v>1</v>
      </c>
      <c r="J399" s="1">
        <v>1</v>
      </c>
      <c r="K399" s="1">
        <v>1</v>
      </c>
      <c r="M399" s="1">
        <v>512</v>
      </c>
      <c r="N399" s="1">
        <v>512</v>
      </c>
      <c r="O399" s="1">
        <v>939</v>
      </c>
      <c r="P399" s="1">
        <v>427</v>
      </c>
      <c r="Q399" s="1" t="s">
        <v>42</v>
      </c>
      <c r="S399" s="1" t="s">
        <v>42</v>
      </c>
      <c r="T399" s="1" t="s">
        <v>203</v>
      </c>
      <c r="U399" s="1">
        <v>23</v>
      </c>
      <c r="V399" s="5">
        <v>44033</v>
      </c>
      <c r="W399" s="5">
        <v>43902</v>
      </c>
      <c r="X399" s="1">
        <v>798000</v>
      </c>
      <c r="Y399" s="1">
        <v>798000</v>
      </c>
      <c r="Z399" s="5">
        <v>44019</v>
      </c>
      <c r="AA399" s="1">
        <v>768000</v>
      </c>
      <c r="AB399" s="1" t="s">
        <v>231</v>
      </c>
      <c r="AC399" s="5">
        <v>44029</v>
      </c>
      <c r="AF399" s="1">
        <v>10025</v>
      </c>
      <c r="AI399" s="1" t="s">
        <v>52</v>
      </c>
      <c r="AJ399" s="1">
        <v>1971</v>
      </c>
      <c r="AK399" s="1" t="s">
        <v>50</v>
      </c>
      <c r="AL399" s="1">
        <v>226</v>
      </c>
    </row>
    <row r="400" spans="1:38" x14ac:dyDescent="0.2">
      <c r="A400" s="2" t="str">
        <f>HYPERLINK("https://www.compass.com/listing/275-west-10th-street-unit-garden-a-manhattan-ny-10014/475163020789197449/","275 W 10th St, Unit GARDEN A")</f>
        <v>275 W 10th St, Unit GARDEN A</v>
      </c>
      <c r="B400" s="2" t="str">
        <f>HYPERLINK("https://www.compass.com/building/the-shephard-manhattan-ny/281931968864632917/","The Shephard")</f>
        <v>The Shephard</v>
      </c>
      <c r="C400" s="1" t="s">
        <v>68</v>
      </c>
      <c r="D400" s="1" t="s">
        <v>41</v>
      </c>
      <c r="E400" s="3">
        <v>6995000</v>
      </c>
      <c r="F400" s="1">
        <v>2609.1010816859298</v>
      </c>
      <c r="G400" s="1">
        <v>7</v>
      </c>
      <c r="H400" s="1">
        <v>3</v>
      </c>
      <c r="I400" s="1">
        <v>4</v>
      </c>
      <c r="J400" s="1">
        <v>3.5</v>
      </c>
      <c r="K400" s="1">
        <v>3</v>
      </c>
      <c r="L400" s="1">
        <v>1</v>
      </c>
      <c r="M400" s="4">
        <v>2681</v>
      </c>
      <c r="N400" s="1">
        <v>2550</v>
      </c>
      <c r="O400" s="1">
        <v>5889</v>
      </c>
      <c r="P400" s="1">
        <v>3339</v>
      </c>
      <c r="S400" s="1" t="s">
        <v>42</v>
      </c>
      <c r="T400" s="1" t="s">
        <v>203</v>
      </c>
      <c r="V400" s="5">
        <v>43908</v>
      </c>
      <c r="W400" s="5">
        <v>43907</v>
      </c>
      <c r="X400" s="1">
        <v>6995000</v>
      </c>
      <c r="Y400" s="1">
        <v>6995000</v>
      </c>
      <c r="AA400" s="1">
        <v>6995000</v>
      </c>
      <c r="AB400" s="1" t="s">
        <v>204</v>
      </c>
      <c r="AC400" s="5">
        <v>43908</v>
      </c>
      <c r="AF400" s="1">
        <v>10014</v>
      </c>
      <c r="AI400" s="1" t="s">
        <v>189</v>
      </c>
      <c r="AJ400" s="1">
        <v>2015</v>
      </c>
      <c r="AK400" s="1" t="s">
        <v>55</v>
      </c>
      <c r="AL400" s="1">
        <v>38</v>
      </c>
    </row>
    <row r="401" spans="1:38" x14ac:dyDescent="0.2">
      <c r="A401" s="2" t="str">
        <f>HYPERLINK("https://www.compass.com/listing/101-west-78th-street-unit-8b-manhattan-ny-10024/628257651255686321/","101 W 78th St, Unit 8B")</f>
        <v>101 W 78th St, Unit 8B</v>
      </c>
      <c r="B401" s="2" t="str">
        <f>HYPERLINK("https://www.compass.com/building/101-w-78th-st-manhattan-ny-10024/281961405798754085/","101 W 78th St")</f>
        <v>101 W 78th St</v>
      </c>
      <c r="C401" s="1" t="s">
        <v>47</v>
      </c>
      <c r="D401" s="1" t="s">
        <v>41</v>
      </c>
      <c r="E401" s="3">
        <v>3425000</v>
      </c>
      <c r="F401" s="1">
        <v>1968.3908045977</v>
      </c>
      <c r="G401" s="1">
        <v>5</v>
      </c>
      <c r="H401" s="1">
        <v>2</v>
      </c>
      <c r="I401" s="1">
        <v>3</v>
      </c>
      <c r="J401" s="1">
        <v>2.5</v>
      </c>
      <c r="K401" s="1">
        <v>2</v>
      </c>
      <c r="L401" s="1">
        <v>1</v>
      </c>
      <c r="M401" s="4">
        <v>1740</v>
      </c>
      <c r="N401" s="1">
        <v>2520</v>
      </c>
      <c r="O401" s="1">
        <v>4146</v>
      </c>
      <c r="P401" s="1">
        <v>1626</v>
      </c>
      <c r="Q401" s="1" t="s">
        <v>42</v>
      </c>
      <c r="S401" s="1" t="s">
        <v>42</v>
      </c>
      <c r="T401" s="1" t="s">
        <v>203</v>
      </c>
      <c r="U401" s="1">
        <v>121</v>
      </c>
      <c r="V401" s="5">
        <v>44286</v>
      </c>
      <c r="W401" s="5">
        <v>44124</v>
      </c>
      <c r="X401" s="1">
        <v>3495000</v>
      </c>
      <c r="Y401" s="1">
        <v>3495000</v>
      </c>
      <c r="Z401" s="5">
        <v>44245</v>
      </c>
      <c r="AA401" s="1">
        <v>3425000</v>
      </c>
      <c r="AB401" s="1" t="s">
        <v>232</v>
      </c>
      <c r="AC401" s="5">
        <v>44281</v>
      </c>
      <c r="AF401" s="1">
        <v>10024</v>
      </c>
      <c r="AJ401" s="1">
        <v>1886</v>
      </c>
      <c r="AK401" s="1" t="s">
        <v>50</v>
      </c>
      <c r="AL401" s="1">
        <v>21</v>
      </c>
    </row>
    <row r="402" spans="1:38" x14ac:dyDescent="0.2">
      <c r="A402" s="2" t="str">
        <f>HYPERLINK("https://www.compass.com/listing/275-w-10th-st-unit-penthouse-b-manhattan-ny-10014/296928952379678241/","275 W 10th St, Unit Penthouse-B")</f>
        <v>275 W 10th St, Unit Penthouse-B</v>
      </c>
      <c r="B402" s="2" t="str">
        <f>HYPERLINK("https://www.compass.com/building/the-shephard-manhattan-ny/281931968864632917/","The Shephard")</f>
        <v>The Shephard</v>
      </c>
      <c r="C402" s="1" t="s">
        <v>68</v>
      </c>
      <c r="D402" s="1" t="s">
        <v>41</v>
      </c>
      <c r="E402" s="3">
        <v>19025000</v>
      </c>
      <c r="F402" s="1">
        <v>3994.3313038001202</v>
      </c>
      <c r="G402" s="1">
        <v>8</v>
      </c>
      <c r="H402" s="1">
        <v>4</v>
      </c>
      <c r="I402" s="1">
        <v>6</v>
      </c>
      <c r="J402" s="1">
        <v>5</v>
      </c>
      <c r="K402" s="1">
        <v>4</v>
      </c>
      <c r="L402" s="1">
        <v>2</v>
      </c>
      <c r="M402" s="4">
        <v>4763</v>
      </c>
      <c r="N402" s="1">
        <v>5055</v>
      </c>
      <c r="O402" s="1">
        <v>11675</v>
      </c>
      <c r="P402" s="1">
        <v>6620</v>
      </c>
      <c r="S402" s="1" t="s">
        <v>42</v>
      </c>
      <c r="T402" s="1" t="s">
        <v>203</v>
      </c>
      <c r="U402" s="1">
        <v>206</v>
      </c>
      <c r="V402" s="5">
        <v>44323</v>
      </c>
      <c r="W402" s="5">
        <v>43662</v>
      </c>
      <c r="X402" s="1">
        <v>23950000</v>
      </c>
      <c r="Y402" s="1">
        <v>20950000</v>
      </c>
      <c r="Z402" s="5">
        <v>43868</v>
      </c>
      <c r="AA402" s="1">
        <v>19025000</v>
      </c>
      <c r="AB402" s="1" t="s">
        <v>215</v>
      </c>
      <c r="AC402" s="5">
        <v>44007</v>
      </c>
      <c r="AF402" s="1">
        <v>10014</v>
      </c>
      <c r="AI402" s="1" t="s">
        <v>67</v>
      </c>
      <c r="AJ402" s="1">
        <v>2015</v>
      </c>
      <c r="AK402" s="1" t="s">
        <v>55</v>
      </c>
      <c r="AL402" s="1">
        <v>38</v>
      </c>
    </row>
    <row r="403" spans="1:38" x14ac:dyDescent="0.2">
      <c r="A403" s="2" t="str">
        <f>HYPERLINK("https://www.compass.com/listing/360-central-park-west-unit-2b-manhattan-ny-10025/296985532223888657/","360 Central Park W, Unit 2B")</f>
        <v>360 Central Park W, Unit 2B</v>
      </c>
      <c r="B403" s="2" t="str">
        <f>HYPERLINK("https://www.compass.com/building/360-central-park-west-manhattan-ny/281971555427243781/","360 Central Park West")</f>
        <v>360 Central Park West</v>
      </c>
      <c r="C403" s="1" t="s">
        <v>47</v>
      </c>
      <c r="D403" s="1" t="s">
        <v>41</v>
      </c>
      <c r="E403" s="3">
        <v>3827813</v>
      </c>
      <c r="F403" s="1">
        <v>1842.9525758305199</v>
      </c>
      <c r="G403" s="1">
        <v>5</v>
      </c>
      <c r="H403" s="1">
        <v>3</v>
      </c>
      <c r="I403" s="1">
        <v>3</v>
      </c>
      <c r="J403" s="1">
        <v>3</v>
      </c>
      <c r="K403" s="1">
        <v>3</v>
      </c>
      <c r="M403" s="4">
        <v>2077</v>
      </c>
      <c r="N403" s="1">
        <v>2522</v>
      </c>
      <c r="O403" s="1">
        <v>3899</v>
      </c>
      <c r="P403" s="1">
        <v>1377</v>
      </c>
      <c r="Q403" s="1" t="s">
        <v>42</v>
      </c>
      <c r="S403" s="1" t="s">
        <v>42</v>
      </c>
      <c r="T403" s="1" t="s">
        <v>203</v>
      </c>
      <c r="U403" s="1">
        <v>7</v>
      </c>
      <c r="V403" s="5">
        <v>43736</v>
      </c>
      <c r="W403" s="5">
        <v>43662</v>
      </c>
      <c r="X403" s="1">
        <v>3595000</v>
      </c>
      <c r="Y403" s="1">
        <v>3595000</v>
      </c>
      <c r="Z403" s="5">
        <v>43669</v>
      </c>
      <c r="AA403" s="1">
        <v>3827812.5</v>
      </c>
      <c r="AB403" s="1" t="s">
        <v>233</v>
      </c>
      <c r="AC403" s="5">
        <v>43735</v>
      </c>
      <c r="AF403" s="1">
        <v>10025</v>
      </c>
      <c r="AJ403" s="1">
        <v>1929</v>
      </c>
      <c r="AK403" s="1" t="s">
        <v>55</v>
      </c>
      <c r="AL403" s="1">
        <v>126</v>
      </c>
    </row>
    <row r="404" spans="1:38" x14ac:dyDescent="0.2">
      <c r="A404" s="2" t="str">
        <f>HYPERLINK("https://www.compass.com/listing/275-west-10th-street-unit-9c-manhattan-ny-10014/548470054973648473/","275 W 10th St, Unit 9C")</f>
        <v>275 W 10th St, Unit 9C</v>
      </c>
      <c r="B404" s="2" t="str">
        <f t="shared" ref="B404:B406" si="63">HYPERLINK("https://www.compass.com/building/the-shephard-manhattan-ny/281931968864632917/","The Shephard")</f>
        <v>The Shephard</v>
      </c>
      <c r="C404" s="1" t="s">
        <v>68</v>
      </c>
      <c r="D404" s="1" t="s">
        <v>41</v>
      </c>
      <c r="E404" s="3">
        <v>14075000</v>
      </c>
      <c r="F404" s="1">
        <v>3654.89483251103</v>
      </c>
      <c r="G404" s="1">
        <v>9</v>
      </c>
      <c r="H404" s="1">
        <v>4</v>
      </c>
      <c r="I404" s="1">
        <v>5</v>
      </c>
      <c r="J404" s="1">
        <v>4.5</v>
      </c>
      <c r="K404" s="1">
        <v>4</v>
      </c>
      <c r="L404" s="1">
        <v>1</v>
      </c>
      <c r="M404" s="4">
        <v>3851</v>
      </c>
      <c r="N404" s="1">
        <v>3538</v>
      </c>
      <c r="O404" s="1">
        <v>8172</v>
      </c>
      <c r="P404" s="1">
        <v>4634</v>
      </c>
      <c r="Q404" s="1" t="s">
        <v>42</v>
      </c>
      <c r="S404" s="1" t="s">
        <v>42</v>
      </c>
      <c r="T404" s="1" t="s">
        <v>203</v>
      </c>
      <c r="V404" s="5">
        <v>44009</v>
      </c>
      <c r="W404" s="5">
        <v>44009</v>
      </c>
      <c r="X404" s="1">
        <v>14250000</v>
      </c>
      <c r="Y404" s="1">
        <v>14250000</v>
      </c>
      <c r="AA404" s="1">
        <v>14075000</v>
      </c>
      <c r="AB404" s="1" t="s">
        <v>234</v>
      </c>
      <c r="AC404" s="5">
        <v>44005</v>
      </c>
      <c r="AF404" s="1">
        <v>10014</v>
      </c>
      <c r="AI404" s="1" t="s">
        <v>67</v>
      </c>
      <c r="AJ404" s="1">
        <v>2015</v>
      </c>
      <c r="AK404" s="1" t="s">
        <v>55</v>
      </c>
      <c r="AL404" s="1">
        <v>38</v>
      </c>
    </row>
    <row r="405" spans="1:38" x14ac:dyDescent="0.2">
      <c r="A405" s="2" t="str">
        <f>HYPERLINK("https://www.compass.com/listing/275-west-10th-street-unit-8d-manhattan-ny-10014/475162913490642513/","275 W 10th St, Unit 8D")</f>
        <v>275 W 10th St, Unit 8D</v>
      </c>
      <c r="B405" s="2" t="str">
        <f t="shared" si="63"/>
        <v>The Shephard</v>
      </c>
      <c r="C405" s="1" t="s">
        <v>68</v>
      </c>
      <c r="D405" s="1" t="s">
        <v>41</v>
      </c>
      <c r="E405" s="3">
        <v>1650000</v>
      </c>
      <c r="F405" s="1">
        <v>2340.4255319148901</v>
      </c>
      <c r="G405" s="1">
        <v>2</v>
      </c>
      <c r="H405" s="1" t="s">
        <v>77</v>
      </c>
      <c r="I405" s="1">
        <v>1</v>
      </c>
      <c r="J405" s="1">
        <v>1</v>
      </c>
      <c r="K405" s="1">
        <v>1</v>
      </c>
      <c r="M405" s="1">
        <v>705</v>
      </c>
      <c r="N405" s="1">
        <v>648</v>
      </c>
      <c r="O405" s="1">
        <v>1496</v>
      </c>
      <c r="P405" s="1">
        <v>848</v>
      </c>
      <c r="Q405" s="1" t="s">
        <v>42</v>
      </c>
      <c r="S405" s="1" t="s">
        <v>42</v>
      </c>
      <c r="T405" s="1" t="s">
        <v>203</v>
      </c>
      <c r="V405" s="5">
        <v>44041</v>
      </c>
      <c r="W405" s="5">
        <v>43907</v>
      </c>
      <c r="X405" s="1">
        <v>1885000</v>
      </c>
      <c r="Y405" s="1">
        <v>1885000</v>
      </c>
      <c r="Z405" s="5">
        <v>43908</v>
      </c>
      <c r="AA405" s="1">
        <v>1650000</v>
      </c>
      <c r="AB405" s="1" t="s">
        <v>235</v>
      </c>
      <c r="AC405" s="5">
        <v>44036</v>
      </c>
      <c r="AF405" s="1">
        <v>10014</v>
      </c>
      <c r="AI405" s="1" t="s">
        <v>67</v>
      </c>
      <c r="AJ405" s="1">
        <v>2015</v>
      </c>
      <c r="AK405" s="1" t="s">
        <v>55</v>
      </c>
      <c r="AL405" s="1">
        <v>38</v>
      </c>
    </row>
    <row r="406" spans="1:38" x14ac:dyDescent="0.2">
      <c r="A406" s="2" t="str">
        <f>HYPERLINK("https://www.compass.com/listing/275-w-10th-st-unit-maisonette-d-manhattan-ny-10014/335512325297667041/","275 W 10th St, Unit Maisonette D")</f>
        <v>275 W 10th St, Unit Maisonette D</v>
      </c>
      <c r="B406" s="2" t="str">
        <f t="shared" si="63"/>
        <v>The Shephard</v>
      </c>
      <c r="C406" s="1" t="s">
        <v>68</v>
      </c>
      <c r="D406" s="1" t="s">
        <v>41</v>
      </c>
      <c r="E406" s="3">
        <v>1195000</v>
      </c>
      <c r="F406" s="1">
        <v>2433.8085539714798</v>
      </c>
      <c r="G406" s="1">
        <v>3</v>
      </c>
      <c r="H406" s="1" t="s">
        <v>77</v>
      </c>
      <c r="I406" s="1">
        <v>1</v>
      </c>
      <c r="J406" s="1">
        <v>1</v>
      </c>
      <c r="K406" s="1">
        <v>1</v>
      </c>
      <c r="M406" s="1">
        <v>491</v>
      </c>
      <c r="N406" s="1">
        <v>451.2</v>
      </c>
      <c r="O406" s="1">
        <v>1115.2</v>
      </c>
      <c r="P406" s="1">
        <v>664</v>
      </c>
      <c r="S406" s="1" t="s">
        <v>42</v>
      </c>
      <c r="T406" s="1" t="s">
        <v>203</v>
      </c>
      <c r="U406" s="1">
        <v>18</v>
      </c>
      <c r="V406" s="5">
        <v>43790</v>
      </c>
      <c r="W406" s="5">
        <v>43724</v>
      </c>
      <c r="X406" s="1">
        <v>1195000</v>
      </c>
      <c r="Y406" s="1">
        <v>1195000</v>
      </c>
      <c r="Z406" s="5">
        <v>43743</v>
      </c>
      <c r="AA406" s="1">
        <v>1195000</v>
      </c>
      <c r="AB406" s="1" t="s">
        <v>204</v>
      </c>
      <c r="AC406" s="5">
        <v>43790</v>
      </c>
      <c r="AF406" s="1">
        <v>10014</v>
      </c>
      <c r="AI406" s="1" t="s">
        <v>67</v>
      </c>
      <c r="AJ406" s="1">
        <v>2015</v>
      </c>
      <c r="AK406" s="1" t="s">
        <v>55</v>
      </c>
      <c r="AL406" s="1">
        <v>38</v>
      </c>
    </row>
    <row r="407" spans="1:38" x14ac:dyDescent="0.2">
      <c r="A407" s="2" t="str">
        <f>HYPERLINK("https://www.compass.com/listing/3-east-3rd-street-unit-3-manhattan-ny-10003/212097397579331121/","3 E 3rd St, Unit 3")</f>
        <v>3 E 3rd St, Unit 3</v>
      </c>
      <c r="B407" s="2" t="str">
        <f t="shared" ref="B407:B411" si="64">HYPERLINK("https://www.compass.com/building/3-e-3rd-manhattan-ny/293533179342514101/","3 E 3rd")</f>
        <v>3 E 3rd</v>
      </c>
      <c r="C407" s="1" t="s">
        <v>88</v>
      </c>
      <c r="D407" s="1" t="s">
        <v>41</v>
      </c>
      <c r="E407" s="3">
        <v>3175000</v>
      </c>
      <c r="F407" s="1">
        <v>1701.50053590568</v>
      </c>
      <c r="G407" s="1">
        <v>7</v>
      </c>
      <c r="H407" s="1">
        <v>3</v>
      </c>
      <c r="I407" s="1">
        <v>3</v>
      </c>
      <c r="J407" s="1">
        <v>3</v>
      </c>
      <c r="K407" s="1">
        <v>3</v>
      </c>
      <c r="M407" s="4">
        <v>1866</v>
      </c>
      <c r="N407" s="1">
        <v>1003</v>
      </c>
      <c r="O407" s="1">
        <v>4090</v>
      </c>
      <c r="P407" s="1">
        <v>3087</v>
      </c>
      <c r="Q407" s="1" t="s">
        <v>42</v>
      </c>
      <c r="S407" s="1" t="s">
        <v>42</v>
      </c>
      <c r="T407" s="1" t="s">
        <v>203</v>
      </c>
      <c r="U407" s="1">
        <v>31</v>
      </c>
      <c r="V407" s="5">
        <v>44181</v>
      </c>
      <c r="W407" s="5">
        <v>43586</v>
      </c>
      <c r="X407" s="1">
        <v>3750000</v>
      </c>
      <c r="Y407" s="1">
        <v>3400000</v>
      </c>
      <c r="Z407" s="5">
        <v>44138</v>
      </c>
      <c r="AA407" s="1">
        <v>3175000</v>
      </c>
      <c r="AB407" s="1" t="s">
        <v>236</v>
      </c>
      <c r="AC407" s="5">
        <v>44173</v>
      </c>
      <c r="AF407" s="1">
        <v>10003</v>
      </c>
      <c r="AJ407" s="1">
        <v>2019</v>
      </c>
      <c r="AL407" s="1">
        <v>5</v>
      </c>
    </row>
    <row r="408" spans="1:38" x14ac:dyDescent="0.2">
      <c r="A408" s="2" t="str">
        <f>HYPERLINK("https://www.compass.com/listing/3-east-3rd-street-unit-ph-manhattan-ny-10003/389127510633270929/","3 E 3rd St, Unit PH")</f>
        <v>3 E 3rd St, Unit PH</v>
      </c>
      <c r="B408" s="2" t="str">
        <f t="shared" si="64"/>
        <v>3 E 3rd</v>
      </c>
      <c r="C408" s="1" t="s">
        <v>88</v>
      </c>
      <c r="D408" s="1" t="s">
        <v>41</v>
      </c>
      <c r="E408" s="3">
        <v>4310000</v>
      </c>
      <c r="F408" s="1">
        <v>2116.8958742632599</v>
      </c>
      <c r="G408" s="1">
        <v>7</v>
      </c>
      <c r="H408" s="1">
        <v>3</v>
      </c>
      <c r="J408" s="1">
        <v>3</v>
      </c>
      <c r="M408" s="4">
        <v>2036</v>
      </c>
      <c r="N408" s="1">
        <v>1234</v>
      </c>
      <c r="O408" s="1">
        <v>5033</v>
      </c>
      <c r="P408" s="1">
        <v>3799</v>
      </c>
      <c r="S408" s="1" t="s">
        <v>42</v>
      </c>
      <c r="T408" s="1" t="s">
        <v>203</v>
      </c>
      <c r="U408" s="1">
        <v>185</v>
      </c>
      <c r="V408" s="5">
        <v>44161</v>
      </c>
      <c r="W408" s="5">
        <v>43804</v>
      </c>
      <c r="X408" s="1">
        <v>5200000</v>
      </c>
      <c r="Y408" s="1">
        <v>4500000</v>
      </c>
      <c r="Z408" s="5">
        <v>44083</v>
      </c>
      <c r="AA408" s="1">
        <v>4310000</v>
      </c>
      <c r="AB408" s="1" t="s">
        <v>215</v>
      </c>
      <c r="AC408" s="5">
        <v>44119</v>
      </c>
      <c r="AF408" s="1">
        <v>10003</v>
      </c>
      <c r="AI408" s="1" t="s">
        <v>237</v>
      </c>
      <c r="AJ408" s="1">
        <v>2019</v>
      </c>
      <c r="AK408" s="1" t="s">
        <v>91</v>
      </c>
      <c r="AL408" s="1">
        <v>5</v>
      </c>
    </row>
    <row r="409" spans="1:38" x14ac:dyDescent="0.2">
      <c r="A409" s="2" t="str">
        <f>HYPERLINK("https://www.compass.com/listing/3-east-3rd-street-unit-4-manhattan-ny-10003/344140984673648209/","3 E 3rd St, Unit 4")</f>
        <v>3 E 3rd St, Unit 4</v>
      </c>
      <c r="B409" s="2" t="str">
        <f t="shared" si="64"/>
        <v>3 E 3rd</v>
      </c>
      <c r="C409" s="1" t="s">
        <v>88</v>
      </c>
      <c r="D409" s="1" t="s">
        <v>41</v>
      </c>
      <c r="E409" s="3">
        <v>3250000</v>
      </c>
      <c r="F409" s="1">
        <v>1741.6934619506901</v>
      </c>
      <c r="G409" s="1">
        <v>7</v>
      </c>
      <c r="H409" s="1">
        <v>3</v>
      </c>
      <c r="J409" s="1">
        <v>3</v>
      </c>
      <c r="M409" s="4">
        <v>1866</v>
      </c>
      <c r="N409" s="1">
        <v>1003</v>
      </c>
      <c r="O409" s="1">
        <v>4090</v>
      </c>
      <c r="P409" s="1">
        <v>3087</v>
      </c>
      <c r="Q409" s="1" t="s">
        <v>42</v>
      </c>
      <c r="S409" s="1" t="s">
        <v>42</v>
      </c>
      <c r="T409" s="1" t="s">
        <v>203</v>
      </c>
      <c r="U409" s="1">
        <v>214</v>
      </c>
      <c r="V409" s="5">
        <v>44123</v>
      </c>
      <c r="W409" s="5">
        <v>43735</v>
      </c>
      <c r="X409" s="1">
        <v>4100000</v>
      </c>
      <c r="Y409" s="1">
        <v>3995000</v>
      </c>
      <c r="Z409" s="5">
        <v>44043</v>
      </c>
      <c r="AA409" s="1">
        <v>3250000</v>
      </c>
      <c r="AB409" s="1" t="s">
        <v>238</v>
      </c>
      <c r="AC409" s="5">
        <v>44119</v>
      </c>
      <c r="AF409" s="1">
        <v>10003</v>
      </c>
      <c r="AJ409" s="1">
        <v>2019</v>
      </c>
      <c r="AL409" s="1">
        <v>5</v>
      </c>
    </row>
    <row r="410" spans="1:38" x14ac:dyDescent="0.2">
      <c r="A410" s="2" t="str">
        <f>HYPERLINK("https://www.compass.com/listing/3-east-3rd-street-unit-5-manhattan-ny-10003/573799220589535065/","3 E 3rd St, Unit 5")</f>
        <v>3 E 3rd St, Unit 5</v>
      </c>
      <c r="B410" s="2" t="str">
        <f t="shared" si="64"/>
        <v>3 E 3rd</v>
      </c>
      <c r="C410" s="1" t="s">
        <v>88</v>
      </c>
      <c r="D410" s="1" t="s">
        <v>41</v>
      </c>
      <c r="E410" s="3">
        <v>3300000</v>
      </c>
      <c r="F410" s="1">
        <v>1768.4887459807001</v>
      </c>
      <c r="G410" s="1">
        <v>7</v>
      </c>
      <c r="H410" s="1">
        <v>3</v>
      </c>
      <c r="J410" s="1">
        <v>3</v>
      </c>
      <c r="M410" s="4">
        <v>1866</v>
      </c>
      <c r="N410" s="1">
        <v>1003</v>
      </c>
      <c r="O410" s="1">
        <v>4090</v>
      </c>
      <c r="P410" s="1">
        <v>3087</v>
      </c>
      <c r="Q410" s="1" t="s">
        <v>42</v>
      </c>
      <c r="S410" s="1" t="s">
        <v>42</v>
      </c>
      <c r="T410" s="1" t="s">
        <v>203</v>
      </c>
      <c r="U410" s="1">
        <v>62</v>
      </c>
      <c r="V410" s="5">
        <v>44156</v>
      </c>
      <c r="W410" s="5">
        <v>44044</v>
      </c>
      <c r="X410" s="1">
        <v>3750000</v>
      </c>
      <c r="Y410" s="1">
        <v>3750000</v>
      </c>
      <c r="Z410" s="5">
        <v>44106</v>
      </c>
      <c r="AA410" s="1">
        <v>3300000</v>
      </c>
      <c r="AB410" s="1" t="s">
        <v>239</v>
      </c>
      <c r="AC410" s="5">
        <v>44137</v>
      </c>
      <c r="AF410" s="1">
        <v>10003</v>
      </c>
      <c r="AJ410" s="1">
        <v>2019</v>
      </c>
      <c r="AL410" s="1">
        <v>5</v>
      </c>
    </row>
    <row r="411" spans="1:38" x14ac:dyDescent="0.2">
      <c r="A411" s="2" t="str">
        <f>HYPERLINK("https://www.compass.com/listing/3-east-3rd-street-unit-2-manhattan-ny-10003/273804562563894289/","3 E 3rd St, Unit 2")</f>
        <v>3 E 3rd St, Unit 2</v>
      </c>
      <c r="B411" s="2" t="str">
        <f t="shared" si="64"/>
        <v>3 E 3rd</v>
      </c>
      <c r="C411" s="1" t="s">
        <v>88</v>
      </c>
      <c r="D411" s="1" t="s">
        <v>41</v>
      </c>
      <c r="E411" s="3">
        <v>4500000</v>
      </c>
      <c r="F411" s="1">
        <v>2407.70465489566</v>
      </c>
      <c r="G411" s="1">
        <v>7</v>
      </c>
      <c r="H411" s="1">
        <v>3</v>
      </c>
      <c r="I411" s="1">
        <v>3</v>
      </c>
      <c r="J411" s="1">
        <v>3</v>
      </c>
      <c r="K411" s="1">
        <v>3</v>
      </c>
      <c r="M411" s="4">
        <v>1869</v>
      </c>
      <c r="N411" s="1">
        <v>1157</v>
      </c>
      <c r="O411" s="1">
        <v>4719</v>
      </c>
      <c r="P411" s="1">
        <v>3562</v>
      </c>
      <c r="S411" s="1" t="s">
        <v>42</v>
      </c>
      <c r="T411" s="1" t="s">
        <v>203</v>
      </c>
      <c r="V411" s="5">
        <v>44167</v>
      </c>
      <c r="Z411" s="5">
        <v>43630</v>
      </c>
      <c r="AB411" s="1" t="s">
        <v>204</v>
      </c>
      <c r="AF411" s="1">
        <v>10003</v>
      </c>
      <c r="AJ411" s="1">
        <v>2019</v>
      </c>
      <c r="AL411" s="1">
        <v>5</v>
      </c>
    </row>
    <row r="412" spans="1:38" x14ac:dyDescent="0.2">
      <c r="A412" s="2" t="str">
        <f>HYPERLINK("https://www.compass.com/listing/164-west-74th-street-unit-1a-manhattan-ny-10023/296951470826105777/","164 W 74th St, Unit 1A")</f>
        <v>164 W 74th St, Unit 1A</v>
      </c>
      <c r="B412" s="2" t="str">
        <f>HYPERLINK("https://www.compass.com/building/the-marbury-manhattan-ny/282067269712909941/","The Marbury")</f>
        <v>The Marbury</v>
      </c>
      <c r="C412" s="1" t="s">
        <v>47</v>
      </c>
      <c r="D412" s="1" t="s">
        <v>41</v>
      </c>
      <c r="E412" s="3">
        <v>2045900</v>
      </c>
      <c r="F412" s="1">
        <v>1459.27246790299</v>
      </c>
      <c r="G412" s="1">
        <v>3</v>
      </c>
      <c r="H412" s="1">
        <v>1</v>
      </c>
      <c r="I412" s="1">
        <v>2</v>
      </c>
      <c r="J412" s="1">
        <v>1.5</v>
      </c>
      <c r="K412" s="1">
        <v>1</v>
      </c>
      <c r="L412" s="1">
        <v>1</v>
      </c>
      <c r="M412" s="4">
        <v>1402</v>
      </c>
      <c r="N412" s="1">
        <v>1614</v>
      </c>
      <c r="O412" s="1">
        <v>3935</v>
      </c>
      <c r="P412" s="1">
        <v>2321</v>
      </c>
      <c r="Q412" s="1" t="s">
        <v>42</v>
      </c>
      <c r="S412" s="1" t="s">
        <v>42</v>
      </c>
      <c r="T412" s="1" t="s">
        <v>203</v>
      </c>
      <c r="U412" s="1">
        <v>427</v>
      </c>
      <c r="V412" s="5">
        <v>44184</v>
      </c>
      <c r="W412" s="5">
        <v>43662</v>
      </c>
      <c r="X412" s="1">
        <v>2850000</v>
      </c>
      <c r="Y412" s="1">
        <v>2850000</v>
      </c>
      <c r="AA412" s="1">
        <v>2045900</v>
      </c>
      <c r="AB412" s="1" t="s">
        <v>240</v>
      </c>
      <c r="AC412" s="5">
        <v>44183</v>
      </c>
      <c r="AF412" s="1">
        <v>10023</v>
      </c>
      <c r="AI412" s="1" t="s">
        <v>189</v>
      </c>
      <c r="AJ412" s="1">
        <v>2019</v>
      </c>
      <c r="AK412" s="1" t="s">
        <v>87</v>
      </c>
      <c r="AL412" s="1">
        <v>14</v>
      </c>
    </row>
    <row r="413" spans="1:38" x14ac:dyDescent="0.2">
      <c r="A413" s="2" t="str">
        <f>HYPERLINK("https://www.compass.com/listing/555-west-end-avenue-unit-4e-manhattan-ny-10024/296995080154153937/","555 W End Ave, Unit 4E")</f>
        <v>555 W End Ave, Unit 4E</v>
      </c>
      <c r="B413" s="2" t="str">
        <f t="shared" ref="B413:B417" si="65">HYPERLINK("https://www.compass.com/building/555-west-end-avenue-manhattan-ny/292874438096018885/","555 West End Avenue")</f>
        <v>555 West End Avenue</v>
      </c>
      <c r="C413" s="1" t="s">
        <v>47</v>
      </c>
      <c r="D413" s="1" t="s">
        <v>41</v>
      </c>
      <c r="E413" s="3">
        <v>9900000</v>
      </c>
      <c r="F413" s="1">
        <v>2849.7409326424799</v>
      </c>
      <c r="G413" s="1">
        <v>7</v>
      </c>
      <c r="H413" s="1">
        <v>5</v>
      </c>
      <c r="I413" s="1">
        <v>5</v>
      </c>
      <c r="J413" s="1">
        <v>4.5</v>
      </c>
      <c r="K413" s="1">
        <v>4</v>
      </c>
      <c r="L413" s="1">
        <v>1</v>
      </c>
      <c r="M413" s="4">
        <v>3474</v>
      </c>
      <c r="N413" s="1">
        <v>4778.54</v>
      </c>
      <c r="O413" s="1">
        <v>9081.07</v>
      </c>
      <c r="P413" s="1">
        <v>4302.5</v>
      </c>
      <c r="Q413" s="1" t="s">
        <v>42</v>
      </c>
      <c r="S413" s="1" t="s">
        <v>42</v>
      </c>
      <c r="T413" s="1" t="s">
        <v>203</v>
      </c>
      <c r="U413" s="1">
        <v>116</v>
      </c>
      <c r="V413" s="5">
        <v>43817</v>
      </c>
      <c r="W413" s="5">
        <v>43662</v>
      </c>
      <c r="X413" s="1">
        <v>10300000</v>
      </c>
      <c r="Y413" s="1">
        <v>10300000</v>
      </c>
      <c r="Z413" s="5">
        <v>43778</v>
      </c>
      <c r="AA413" s="1">
        <v>9900000</v>
      </c>
      <c r="AB413" s="1" t="s">
        <v>241</v>
      </c>
      <c r="AC413" s="5">
        <v>43815</v>
      </c>
      <c r="AF413" s="1">
        <v>10024</v>
      </c>
      <c r="AJ413" s="1">
        <v>2019</v>
      </c>
      <c r="AK413" s="1" t="s">
        <v>55</v>
      </c>
      <c r="AL413" s="1">
        <v>13</v>
      </c>
    </row>
    <row r="414" spans="1:38" x14ac:dyDescent="0.2">
      <c r="A414" s="2" t="str">
        <f>HYPERLINK("https://www.compass.com/listing/555-west-end-avenue-unit-5e-manhattan-ny-10024/404215015514741313/","555 W End Ave, Unit 5E")</f>
        <v>555 W End Ave, Unit 5E</v>
      </c>
      <c r="B414" s="2" t="str">
        <f t="shared" si="65"/>
        <v>555 West End Avenue</v>
      </c>
      <c r="C414" s="1" t="s">
        <v>47</v>
      </c>
      <c r="D414" s="1" t="s">
        <v>41</v>
      </c>
      <c r="E414" s="3">
        <v>9999999</v>
      </c>
      <c r="F414" s="1">
        <v>2878.5259067357501</v>
      </c>
      <c r="G414" s="1">
        <v>7</v>
      </c>
      <c r="H414" s="1">
        <v>5</v>
      </c>
      <c r="I414" s="1">
        <v>5</v>
      </c>
      <c r="J414" s="1">
        <v>4.5</v>
      </c>
      <c r="K414" s="1">
        <v>4</v>
      </c>
      <c r="L414" s="1">
        <v>1</v>
      </c>
      <c r="M414" s="4">
        <v>3474</v>
      </c>
      <c r="N414" s="1">
        <v>4778.54</v>
      </c>
      <c r="O414" s="1">
        <v>9081.07</v>
      </c>
      <c r="P414" s="1">
        <v>4302.5</v>
      </c>
      <c r="Q414" s="1" t="s">
        <v>42</v>
      </c>
      <c r="S414" s="1" t="s">
        <v>42</v>
      </c>
      <c r="T414" s="1" t="s">
        <v>203</v>
      </c>
      <c r="V414" s="5">
        <v>43881</v>
      </c>
      <c r="Y414" s="1">
        <v>10600000</v>
      </c>
      <c r="Z414" s="5">
        <v>43810</v>
      </c>
      <c r="AA414" s="1">
        <v>9999999</v>
      </c>
      <c r="AB414" s="1" t="s">
        <v>242</v>
      </c>
      <c r="AC414" s="5">
        <v>43879</v>
      </c>
      <c r="AF414" s="1">
        <v>10024</v>
      </c>
      <c r="AJ414" s="1">
        <v>2019</v>
      </c>
      <c r="AK414" s="1" t="s">
        <v>55</v>
      </c>
      <c r="AL414" s="1">
        <v>13</v>
      </c>
    </row>
    <row r="415" spans="1:38" x14ac:dyDescent="0.2">
      <c r="A415" s="2" t="str">
        <f>HYPERLINK("https://www.compass.com/listing/555-west-end-avenue-unit-6e-manhattan-ny-10024/455132617193971105/","555 W End Ave, Unit 6E")</f>
        <v>555 W End Ave, Unit 6E</v>
      </c>
      <c r="B415" s="2" t="str">
        <f t="shared" si="65"/>
        <v>555 West End Avenue</v>
      </c>
      <c r="C415" s="1" t="s">
        <v>47</v>
      </c>
      <c r="D415" s="1" t="s">
        <v>41</v>
      </c>
      <c r="E415" s="3">
        <v>10750000</v>
      </c>
      <c r="F415" s="1">
        <v>3081.1120664946902</v>
      </c>
      <c r="G415" s="1">
        <v>7</v>
      </c>
      <c r="H415" s="1">
        <v>5</v>
      </c>
      <c r="I415" s="1">
        <v>5</v>
      </c>
      <c r="J415" s="1">
        <v>4.5</v>
      </c>
      <c r="K415" s="1">
        <v>4</v>
      </c>
      <c r="L415" s="1">
        <v>1</v>
      </c>
      <c r="M415" s="4">
        <v>3489</v>
      </c>
      <c r="N415" s="1">
        <v>4799</v>
      </c>
      <c r="O415" s="1">
        <v>9120</v>
      </c>
      <c r="P415" s="1">
        <v>4321</v>
      </c>
      <c r="Q415" s="1" t="s">
        <v>42</v>
      </c>
      <c r="S415" s="1" t="s">
        <v>42</v>
      </c>
      <c r="T415" s="1" t="s">
        <v>203</v>
      </c>
      <c r="V415" s="5">
        <v>43902</v>
      </c>
      <c r="W415" s="5">
        <v>43880</v>
      </c>
      <c r="X415" s="1">
        <v>10900000</v>
      </c>
      <c r="Y415" s="1">
        <v>10900000</v>
      </c>
      <c r="Z415" s="5">
        <v>43881</v>
      </c>
      <c r="AA415" s="1">
        <v>10750000</v>
      </c>
      <c r="AB415" s="1" t="s">
        <v>243</v>
      </c>
      <c r="AC415" s="5">
        <v>43901</v>
      </c>
      <c r="AF415" s="1">
        <v>10024</v>
      </c>
      <c r="AJ415" s="1">
        <v>2019</v>
      </c>
      <c r="AK415" s="1" t="s">
        <v>55</v>
      </c>
      <c r="AL415" s="1">
        <v>13</v>
      </c>
    </row>
    <row r="416" spans="1:38" x14ac:dyDescent="0.2">
      <c r="A416" s="2" t="str">
        <f>HYPERLINK("https://www.compass.com/listing/555-west-end-avenue-unit-3e-manhattan-ny-10024/383954659102115377/","555 W End Ave, Unit 3E")</f>
        <v>555 W End Ave, Unit 3E</v>
      </c>
      <c r="B416" s="2" t="str">
        <f t="shared" si="65"/>
        <v>555 West End Avenue</v>
      </c>
      <c r="C416" s="1" t="s">
        <v>47</v>
      </c>
      <c r="D416" s="1" t="s">
        <v>41</v>
      </c>
      <c r="E416" s="3">
        <v>9750000</v>
      </c>
      <c r="F416" s="1">
        <v>2806.56303972366</v>
      </c>
      <c r="G416" s="1">
        <v>7</v>
      </c>
      <c r="H416" s="1">
        <v>5</v>
      </c>
      <c r="I416" s="1">
        <v>5</v>
      </c>
      <c r="J416" s="1">
        <v>4.5</v>
      </c>
      <c r="K416" s="1">
        <v>4</v>
      </c>
      <c r="L416" s="1">
        <v>1</v>
      </c>
      <c r="M416" s="4">
        <v>3474</v>
      </c>
      <c r="N416" s="1">
        <v>4778.54</v>
      </c>
      <c r="O416" s="1">
        <v>9081.07</v>
      </c>
      <c r="P416" s="1">
        <v>4302.5</v>
      </c>
      <c r="Q416" s="1" t="s">
        <v>42</v>
      </c>
      <c r="S416" s="1" t="s">
        <v>42</v>
      </c>
      <c r="T416" s="1" t="s">
        <v>203</v>
      </c>
      <c r="U416" s="1">
        <v>30</v>
      </c>
      <c r="V416" s="5">
        <v>43832</v>
      </c>
      <c r="W416" s="5">
        <v>43782</v>
      </c>
      <c r="X416" s="1">
        <v>9900000</v>
      </c>
      <c r="Y416" s="1">
        <v>9900000</v>
      </c>
      <c r="Z416" s="5">
        <v>43812</v>
      </c>
      <c r="AA416" s="1">
        <v>9750000</v>
      </c>
      <c r="AB416" s="1" t="s">
        <v>244</v>
      </c>
      <c r="AC416" s="5">
        <v>43825</v>
      </c>
      <c r="AF416" s="1">
        <v>10024</v>
      </c>
      <c r="AJ416" s="1">
        <v>2019</v>
      </c>
      <c r="AK416" s="1" t="s">
        <v>55</v>
      </c>
      <c r="AL416" s="1">
        <v>13</v>
      </c>
    </row>
    <row r="417" spans="1:38" x14ac:dyDescent="0.2">
      <c r="A417" s="2" t="str">
        <f>HYPERLINK("https://www.compass.com/listing/555-west-end-avenue-unit-5w-manhattan-ny-10024/297174766989789665/","555 W End Ave, Unit 5W")</f>
        <v>555 W End Ave, Unit 5W</v>
      </c>
      <c r="B417" s="2" t="str">
        <f t="shared" si="65"/>
        <v>555 West End Avenue</v>
      </c>
      <c r="C417" s="1" t="s">
        <v>47</v>
      </c>
      <c r="D417" s="1" t="s">
        <v>41</v>
      </c>
      <c r="E417" s="3">
        <v>8300000</v>
      </c>
      <c r="F417" s="1">
        <v>3055.9646539027899</v>
      </c>
      <c r="G417" s="1">
        <v>6</v>
      </c>
      <c r="H417" s="1">
        <v>4</v>
      </c>
      <c r="I417" s="1">
        <v>5</v>
      </c>
      <c r="J417" s="1">
        <v>4.5</v>
      </c>
      <c r="K417" s="1">
        <v>4</v>
      </c>
      <c r="L417" s="1">
        <v>1</v>
      </c>
      <c r="M417" s="4">
        <v>2716</v>
      </c>
      <c r="N417" s="1">
        <v>3735.9</v>
      </c>
      <c r="O417" s="1">
        <v>7099.6399999999903</v>
      </c>
      <c r="P417" s="1">
        <v>3363.75</v>
      </c>
      <c r="Q417" s="1" t="s">
        <v>42</v>
      </c>
      <c r="S417" s="1" t="s">
        <v>42</v>
      </c>
      <c r="T417" s="1" t="s">
        <v>203</v>
      </c>
      <c r="V417" s="5">
        <v>43880</v>
      </c>
      <c r="Y417" s="1">
        <v>8600000</v>
      </c>
      <c r="Z417" s="5">
        <v>43662</v>
      </c>
      <c r="AA417" s="1">
        <v>8300000</v>
      </c>
      <c r="AB417" s="1" t="s">
        <v>245</v>
      </c>
      <c r="AC417" s="5">
        <v>43867</v>
      </c>
      <c r="AF417" s="1">
        <v>10024</v>
      </c>
      <c r="AJ417" s="1">
        <v>2019</v>
      </c>
      <c r="AK417" s="1" t="s">
        <v>55</v>
      </c>
      <c r="AL417" s="1">
        <v>13</v>
      </c>
    </row>
    <row r="418" spans="1:38" x14ac:dyDescent="0.2">
      <c r="A418" s="2" t="str">
        <f>HYPERLINK("https://www.compass.com/listing/164-west-74th-street-unit-1b-manhattan-ny-10023/586222068621244385/","164 W 74th St, Unit 1B")</f>
        <v>164 W 74th St, Unit 1B</v>
      </c>
      <c r="B418" s="2" t="str">
        <f t="shared" ref="B418:B425" si="66">HYPERLINK("https://www.compass.com/building/the-marbury-manhattan-ny/282067269712909941/","The Marbury")</f>
        <v>The Marbury</v>
      </c>
      <c r="C418" s="1" t="s">
        <v>47</v>
      </c>
      <c r="D418" s="1" t="s">
        <v>41</v>
      </c>
      <c r="E418" s="3">
        <v>2800000</v>
      </c>
      <c r="F418" s="1">
        <v>1555.55555555555</v>
      </c>
      <c r="G418" s="1">
        <v>4</v>
      </c>
      <c r="H418" s="1">
        <v>2</v>
      </c>
      <c r="I418" s="1">
        <v>3</v>
      </c>
      <c r="J418" s="1">
        <v>2.5</v>
      </c>
      <c r="K418" s="1">
        <v>2</v>
      </c>
      <c r="L418" s="1">
        <v>1</v>
      </c>
      <c r="M418" s="4">
        <v>1800</v>
      </c>
      <c r="N418" s="1">
        <v>2073.0100000000002</v>
      </c>
      <c r="O418" s="1">
        <v>5053.3999999999996</v>
      </c>
      <c r="P418" s="1">
        <v>2980.4166666666601</v>
      </c>
      <c r="Q418" s="1" t="s">
        <v>42</v>
      </c>
      <c r="S418" s="1" t="s">
        <v>42</v>
      </c>
      <c r="T418" s="1" t="s">
        <v>203</v>
      </c>
      <c r="V418" s="5">
        <v>44142</v>
      </c>
      <c r="W418" s="5">
        <v>44061</v>
      </c>
      <c r="X418" s="1">
        <v>3610000</v>
      </c>
      <c r="Y418" s="1">
        <v>3610000</v>
      </c>
      <c r="Z418" s="5">
        <v>44061</v>
      </c>
      <c r="AA418" s="1">
        <v>2800000</v>
      </c>
      <c r="AB418" s="1" t="s">
        <v>246</v>
      </c>
      <c r="AC418" s="5">
        <v>44141</v>
      </c>
      <c r="AF418" s="1">
        <v>10023</v>
      </c>
      <c r="AI418" s="1" t="s">
        <v>189</v>
      </c>
      <c r="AJ418" s="1">
        <v>2019</v>
      </c>
      <c r="AK418" s="1" t="s">
        <v>87</v>
      </c>
      <c r="AL418" s="1">
        <v>14</v>
      </c>
    </row>
    <row r="419" spans="1:38" x14ac:dyDescent="0.2">
      <c r="A419" s="2" t="str">
        <f>HYPERLINK("https://www.compass.com/listing/164-west-74th-street-unit-3b-manhattan-ny-10023/296952685807177073/","164 W 74th St, Unit 3B")</f>
        <v>164 W 74th St, Unit 3B</v>
      </c>
      <c r="B419" s="2" t="str">
        <f t="shared" si="66"/>
        <v>The Marbury</v>
      </c>
      <c r="C419" s="1" t="s">
        <v>47</v>
      </c>
      <c r="D419" s="1" t="s">
        <v>41</v>
      </c>
      <c r="E419" s="3">
        <v>2865900</v>
      </c>
      <c r="F419" s="1">
        <v>1679.8944900351701</v>
      </c>
      <c r="G419" s="1">
        <v>4</v>
      </c>
      <c r="H419" s="1">
        <v>2</v>
      </c>
      <c r="I419" s="1">
        <v>3</v>
      </c>
      <c r="J419" s="1">
        <v>2.5</v>
      </c>
      <c r="K419" s="1">
        <v>2</v>
      </c>
      <c r="L419" s="1">
        <v>1</v>
      </c>
      <c r="M419" s="4">
        <v>1706</v>
      </c>
      <c r="N419" s="1">
        <v>1916</v>
      </c>
      <c r="O419" s="1">
        <v>4671</v>
      </c>
      <c r="P419" s="1">
        <v>2755</v>
      </c>
      <c r="Q419" s="1" t="s">
        <v>42</v>
      </c>
      <c r="S419" s="1" t="s">
        <v>42</v>
      </c>
      <c r="T419" s="1" t="s">
        <v>203</v>
      </c>
      <c r="U419" s="1">
        <v>427</v>
      </c>
      <c r="V419" s="5">
        <v>44184</v>
      </c>
      <c r="W419" s="5">
        <v>43662</v>
      </c>
      <c r="X419" s="1">
        <v>3940000</v>
      </c>
      <c r="Y419" s="1">
        <v>3790000</v>
      </c>
      <c r="AA419" s="1">
        <v>2865900</v>
      </c>
      <c r="AB419" s="1" t="s">
        <v>247</v>
      </c>
      <c r="AC419" s="5">
        <v>44183</v>
      </c>
      <c r="AF419" s="1">
        <v>10023</v>
      </c>
      <c r="AI419" s="1" t="s">
        <v>67</v>
      </c>
      <c r="AJ419" s="1">
        <v>2019</v>
      </c>
      <c r="AK419" s="1" t="s">
        <v>87</v>
      </c>
      <c r="AL419" s="1">
        <v>14</v>
      </c>
    </row>
    <row r="420" spans="1:38" x14ac:dyDescent="0.2">
      <c r="A420" s="2" t="str">
        <f>HYPERLINK("https://www.compass.com/listing/164-west-74th-street-unit-2b-manhattan-ny-10023/597818264280085745/","164 W 74th St, Unit 2B")</f>
        <v>164 W 74th St, Unit 2B</v>
      </c>
      <c r="B420" s="2" t="str">
        <f t="shared" si="66"/>
        <v>The Marbury</v>
      </c>
      <c r="C420" s="1" t="s">
        <v>47</v>
      </c>
      <c r="D420" s="1" t="s">
        <v>41</v>
      </c>
      <c r="E420" s="3">
        <v>2985500</v>
      </c>
      <c r="F420" s="1">
        <v>1750</v>
      </c>
      <c r="G420" s="1">
        <v>4</v>
      </c>
      <c r="H420" s="1">
        <v>2</v>
      </c>
      <c r="I420" s="1">
        <v>3</v>
      </c>
      <c r="J420" s="1">
        <v>2.5</v>
      </c>
      <c r="K420" s="1">
        <v>2</v>
      </c>
      <c r="L420" s="1">
        <v>1</v>
      </c>
      <c r="M420" s="4">
        <v>1706</v>
      </c>
      <c r="N420" s="1">
        <v>2755</v>
      </c>
      <c r="O420" s="1">
        <v>4671</v>
      </c>
      <c r="P420" s="1">
        <v>1916</v>
      </c>
      <c r="Q420" s="1" t="s">
        <v>42</v>
      </c>
      <c r="S420" s="1" t="s">
        <v>42</v>
      </c>
      <c r="T420" s="1" t="s">
        <v>203</v>
      </c>
      <c r="V420" s="5">
        <v>44132</v>
      </c>
      <c r="Y420" s="1">
        <v>3790000</v>
      </c>
      <c r="Z420" s="5">
        <v>44077</v>
      </c>
      <c r="AA420" s="1">
        <v>2985500</v>
      </c>
      <c r="AB420" s="1" t="s">
        <v>248</v>
      </c>
      <c r="AC420" s="5">
        <v>44131</v>
      </c>
      <c r="AF420" s="1">
        <v>10023</v>
      </c>
      <c r="AI420" s="1" t="s">
        <v>67</v>
      </c>
      <c r="AJ420" s="1">
        <v>2019</v>
      </c>
      <c r="AK420" s="1" t="s">
        <v>55</v>
      </c>
      <c r="AL420" s="1">
        <v>14</v>
      </c>
    </row>
    <row r="421" spans="1:38" x14ac:dyDescent="0.2">
      <c r="A421" s="2" t="str">
        <f>HYPERLINK("https://www.compass.com/listing/164-west-74th-street-unit-3a-manhattan-ny-10023/449944483011396729/","164 W 74th St, Unit 3A")</f>
        <v>164 W 74th St, Unit 3A</v>
      </c>
      <c r="B421" s="2" t="str">
        <f t="shared" si="66"/>
        <v>The Marbury</v>
      </c>
      <c r="C421" s="1" t="s">
        <v>47</v>
      </c>
      <c r="D421" s="1" t="s">
        <v>41</v>
      </c>
      <c r="E421" s="3">
        <v>3234900</v>
      </c>
      <c r="F421" s="1">
        <v>1698.1102362204699</v>
      </c>
      <c r="G421" s="1">
        <v>5</v>
      </c>
      <c r="H421" s="1">
        <v>3</v>
      </c>
      <c r="I421" s="1">
        <v>3</v>
      </c>
      <c r="J421" s="1">
        <v>2.5</v>
      </c>
      <c r="K421" s="1">
        <v>2</v>
      </c>
      <c r="L421" s="1">
        <v>1</v>
      </c>
      <c r="M421" s="4">
        <v>1905</v>
      </c>
      <c r="N421" s="1">
        <v>2169</v>
      </c>
      <c r="O421" s="1">
        <v>5288</v>
      </c>
      <c r="P421" s="1">
        <v>3119</v>
      </c>
      <c r="Q421" s="1" t="s">
        <v>42</v>
      </c>
      <c r="S421" s="1" t="s">
        <v>42</v>
      </c>
      <c r="T421" s="1" t="s">
        <v>203</v>
      </c>
      <c r="U421" s="1">
        <v>153</v>
      </c>
      <c r="V421" s="5">
        <v>44184</v>
      </c>
      <c r="W421" s="5">
        <v>44061</v>
      </c>
      <c r="X421" s="1">
        <v>3945000</v>
      </c>
      <c r="Y421" s="1">
        <v>3945000</v>
      </c>
      <c r="Z421" s="5">
        <v>43903</v>
      </c>
      <c r="AA421" s="1">
        <v>3234900</v>
      </c>
      <c r="AB421" s="1" t="s">
        <v>249</v>
      </c>
      <c r="AC421" s="5">
        <v>44183</v>
      </c>
      <c r="AF421" s="1">
        <v>10023</v>
      </c>
      <c r="AI421" s="1" t="s">
        <v>189</v>
      </c>
      <c r="AJ421" s="1">
        <v>2019</v>
      </c>
      <c r="AK421" s="1" t="s">
        <v>55</v>
      </c>
      <c r="AL421" s="1">
        <v>14</v>
      </c>
    </row>
    <row r="422" spans="1:38" x14ac:dyDescent="0.2">
      <c r="A422" s="2" t="str">
        <f>HYPERLINK("https://www.compass.com/listing/164-west-74th-street-unit-2a-manhattan-ny-10023/499823136373110033/","164 W 74th St, Unit 2A")</f>
        <v>164 W 74th St, Unit 2A</v>
      </c>
      <c r="B422" s="2" t="str">
        <f t="shared" si="66"/>
        <v>The Marbury</v>
      </c>
      <c r="C422" s="1" t="s">
        <v>47</v>
      </c>
      <c r="D422" s="1" t="s">
        <v>41</v>
      </c>
      <c r="E422" s="3">
        <v>3395000</v>
      </c>
      <c r="F422" s="1">
        <v>1809.7014925373101</v>
      </c>
      <c r="G422" s="1">
        <v>5</v>
      </c>
      <c r="H422" s="1">
        <v>3</v>
      </c>
      <c r="I422" s="1">
        <v>3</v>
      </c>
      <c r="J422" s="1">
        <v>2.5</v>
      </c>
      <c r="K422" s="1">
        <v>2</v>
      </c>
      <c r="L422" s="1">
        <v>1</v>
      </c>
      <c r="M422" s="4">
        <v>1876</v>
      </c>
      <c r="N422" s="1">
        <v>2110</v>
      </c>
      <c r="O422" s="1">
        <v>5143</v>
      </c>
      <c r="P422" s="1">
        <v>3033</v>
      </c>
      <c r="Q422" s="1" t="s">
        <v>42</v>
      </c>
      <c r="S422" s="1" t="s">
        <v>42</v>
      </c>
      <c r="T422" s="1" t="s">
        <v>203</v>
      </c>
      <c r="V422" s="5">
        <v>44018</v>
      </c>
      <c r="W422" s="5">
        <v>43941</v>
      </c>
      <c r="X422" s="1">
        <v>4380000</v>
      </c>
      <c r="Y422" s="1">
        <v>4380000</v>
      </c>
      <c r="Z422" s="5">
        <v>43941</v>
      </c>
      <c r="AA422" s="1">
        <v>3395000</v>
      </c>
      <c r="AB422" s="1" t="s">
        <v>250</v>
      </c>
      <c r="AC422" s="5">
        <v>44027</v>
      </c>
      <c r="AF422" s="1">
        <v>10023</v>
      </c>
      <c r="AI422" s="1" t="s">
        <v>67</v>
      </c>
      <c r="AJ422" s="1">
        <v>2019</v>
      </c>
      <c r="AK422" s="1" t="s">
        <v>87</v>
      </c>
      <c r="AL422" s="1">
        <v>14</v>
      </c>
    </row>
    <row r="423" spans="1:38" x14ac:dyDescent="0.2">
      <c r="A423" s="2" t="str">
        <f>HYPERLINK("https://www.compass.com/listing/164-west-74th-street-unit-4b-manhattan-ny-10023/611555989921151457/","164 W 74th St, Unit 4B")</f>
        <v>164 W 74th St, Unit 4B</v>
      </c>
      <c r="B423" s="2" t="str">
        <f t="shared" si="66"/>
        <v>The Marbury</v>
      </c>
      <c r="C423" s="1" t="s">
        <v>47</v>
      </c>
      <c r="D423" s="1" t="s">
        <v>41</v>
      </c>
      <c r="E423" s="3">
        <v>3500000</v>
      </c>
      <c r="F423" s="1">
        <v>2051.5826494724502</v>
      </c>
      <c r="G423" s="1">
        <v>4</v>
      </c>
      <c r="H423" s="1">
        <v>2</v>
      </c>
      <c r="I423" s="1">
        <v>3</v>
      </c>
      <c r="J423" s="1">
        <v>2.5</v>
      </c>
      <c r="K423" s="1">
        <v>2</v>
      </c>
      <c r="L423" s="1">
        <v>1</v>
      </c>
      <c r="M423" s="4">
        <v>1706</v>
      </c>
      <c r="N423" s="1">
        <v>1916</v>
      </c>
      <c r="O423" s="1">
        <v>4671</v>
      </c>
      <c r="P423" s="1">
        <v>2755</v>
      </c>
      <c r="Q423" s="1" t="s">
        <v>42</v>
      </c>
      <c r="S423" s="1" t="s">
        <v>42</v>
      </c>
      <c r="T423" s="1" t="s">
        <v>203</v>
      </c>
      <c r="V423" s="5">
        <v>44138</v>
      </c>
      <c r="W423" s="5">
        <v>44096</v>
      </c>
      <c r="X423" s="1">
        <v>4090000</v>
      </c>
      <c r="Y423" s="1">
        <v>4090000</v>
      </c>
      <c r="Z423" s="5">
        <v>44096</v>
      </c>
      <c r="AA423" s="1">
        <v>3500000</v>
      </c>
      <c r="AB423" s="1" t="s">
        <v>251</v>
      </c>
      <c r="AC423" s="5">
        <v>44137</v>
      </c>
      <c r="AF423" s="1">
        <v>10023</v>
      </c>
      <c r="AI423" s="1" t="s">
        <v>67</v>
      </c>
      <c r="AJ423" s="1">
        <v>2019</v>
      </c>
      <c r="AK423" s="1" t="s">
        <v>55</v>
      </c>
      <c r="AL423" s="1">
        <v>14</v>
      </c>
    </row>
    <row r="424" spans="1:38" x14ac:dyDescent="0.2">
      <c r="A424" s="2" t="str">
        <f>HYPERLINK("https://www.compass.com/listing/164-west-74th-street-unit-6b-manhattan-ny-10023/673289561098194761/","164 W 74th St, Unit 6B")</f>
        <v>164 W 74th St, Unit 6B</v>
      </c>
      <c r="B424" s="2" t="str">
        <f t="shared" si="66"/>
        <v>The Marbury</v>
      </c>
      <c r="C424" s="1" t="s">
        <v>47</v>
      </c>
      <c r="D424" s="1" t="s">
        <v>41</v>
      </c>
      <c r="E424" s="3">
        <v>3500000</v>
      </c>
      <c r="F424" s="1">
        <v>2051.5826494724502</v>
      </c>
      <c r="G424" s="1">
        <v>4</v>
      </c>
      <c r="H424" s="1">
        <v>2</v>
      </c>
      <c r="I424" s="1">
        <v>3</v>
      </c>
      <c r="J424" s="1">
        <v>2.5</v>
      </c>
      <c r="K424" s="1">
        <v>2</v>
      </c>
      <c r="L424" s="1">
        <v>1</v>
      </c>
      <c r="M424" s="4">
        <v>1706</v>
      </c>
      <c r="N424" s="1">
        <v>1916.89</v>
      </c>
      <c r="O424" s="1">
        <v>4672.83</v>
      </c>
      <c r="P424" s="1">
        <v>2755.9166666666601</v>
      </c>
      <c r="Q424" s="1" t="s">
        <v>42</v>
      </c>
      <c r="S424" s="1" t="s">
        <v>42</v>
      </c>
      <c r="T424" s="1" t="s">
        <v>203</v>
      </c>
      <c r="V424" s="5">
        <v>44181</v>
      </c>
      <c r="W424" s="5">
        <v>44181</v>
      </c>
      <c r="X424" s="1">
        <v>4390000</v>
      </c>
      <c r="Y424" s="1">
        <v>4390000</v>
      </c>
      <c r="AA424" s="1">
        <v>3500000</v>
      </c>
      <c r="AB424" s="1" t="s">
        <v>252</v>
      </c>
      <c r="AC424" s="5">
        <v>44179</v>
      </c>
      <c r="AF424" s="1">
        <v>10023</v>
      </c>
      <c r="AI424" s="1" t="s">
        <v>75</v>
      </c>
      <c r="AJ424" s="1">
        <v>2019</v>
      </c>
      <c r="AK424" s="1" t="s">
        <v>87</v>
      </c>
      <c r="AL424" s="1">
        <v>14</v>
      </c>
    </row>
    <row r="425" spans="1:38" x14ac:dyDescent="0.2">
      <c r="A425" s="2" t="str">
        <f>HYPERLINK("https://www.compass.com/listing/164-west-74th-street-unit-4a-manhattan-ny-10023/296955394631307057/","164 W 74th St, Unit 4A")</f>
        <v>164 W 74th St, Unit 4A</v>
      </c>
      <c r="B425" s="2" t="str">
        <f t="shared" si="66"/>
        <v>The Marbury</v>
      </c>
      <c r="C425" s="1" t="s">
        <v>47</v>
      </c>
      <c r="D425" s="1" t="s">
        <v>41</v>
      </c>
      <c r="E425" s="3">
        <v>3521900</v>
      </c>
      <c r="F425" s="1">
        <v>1848.7664041994699</v>
      </c>
      <c r="G425" s="1">
        <v>5</v>
      </c>
      <c r="H425" s="1">
        <v>3</v>
      </c>
      <c r="I425" s="1">
        <v>3</v>
      </c>
      <c r="J425" s="1">
        <v>2.5</v>
      </c>
      <c r="K425" s="1">
        <v>2</v>
      </c>
      <c r="L425" s="1">
        <v>1</v>
      </c>
      <c r="M425" s="4">
        <v>1905</v>
      </c>
      <c r="N425" s="1">
        <v>2172</v>
      </c>
      <c r="O425" s="1">
        <v>5294</v>
      </c>
      <c r="P425" s="1">
        <v>3122</v>
      </c>
      <c r="Q425" s="1" t="s">
        <v>42</v>
      </c>
      <c r="S425" s="1" t="s">
        <v>42</v>
      </c>
      <c r="T425" s="1" t="s">
        <v>203</v>
      </c>
      <c r="U425" s="1">
        <v>427</v>
      </c>
      <c r="V425" s="5">
        <v>44184</v>
      </c>
      <c r="W425" s="5">
        <v>43662</v>
      </c>
      <c r="X425" s="1">
        <v>4650000</v>
      </c>
      <c r="Y425" s="1">
        <v>4500000</v>
      </c>
      <c r="AA425" s="1">
        <v>3521900</v>
      </c>
      <c r="AB425" s="1" t="s">
        <v>253</v>
      </c>
      <c r="AC425" s="5">
        <v>44183</v>
      </c>
      <c r="AF425" s="1">
        <v>10023</v>
      </c>
      <c r="AI425" s="1" t="s">
        <v>189</v>
      </c>
      <c r="AJ425" s="1">
        <v>2019</v>
      </c>
      <c r="AK425" s="1" t="s">
        <v>87</v>
      </c>
      <c r="AL425" s="1">
        <v>14</v>
      </c>
    </row>
    <row r="426" spans="1:38" x14ac:dyDescent="0.2">
      <c r="A426" s="2" t="str">
        <f>HYPERLINK("https://www.compass.com/listing/302-east-96th-street-unit-1303-manhattan-ny-10128/791269731216996497/","302 E 96th St, Unit 1303")</f>
        <v>302 E 96th St, Unit 1303</v>
      </c>
      <c r="B426" s="2" t="str">
        <f>HYPERLINK("https://www.compass.com/building/302-e-96th-st-manhattan-ny/282050840162756469/","302 E 96th St")</f>
        <v>302 E 96th St</v>
      </c>
      <c r="C426" s="1" t="s">
        <v>53</v>
      </c>
      <c r="D426" s="1" t="s">
        <v>41</v>
      </c>
      <c r="E426" s="3">
        <v>2265000</v>
      </c>
      <c r="F426" s="1">
        <v>1598.4474241354901</v>
      </c>
      <c r="G426" s="1">
        <v>5</v>
      </c>
      <c r="H426" s="1">
        <v>2</v>
      </c>
      <c r="I426" s="1">
        <v>3</v>
      </c>
      <c r="J426" s="1">
        <v>3</v>
      </c>
      <c r="K426" s="1">
        <v>3</v>
      </c>
      <c r="M426" s="4">
        <v>1417</v>
      </c>
      <c r="N426" s="1">
        <v>1590</v>
      </c>
      <c r="O426" s="1">
        <v>2956</v>
      </c>
      <c r="P426" s="1">
        <v>1366</v>
      </c>
      <c r="S426" s="1" t="s">
        <v>42</v>
      </c>
      <c r="T426" s="1" t="s">
        <v>203</v>
      </c>
      <c r="V426" s="5">
        <v>44425</v>
      </c>
      <c r="W426" s="5">
        <v>44344</v>
      </c>
      <c r="X426" s="1">
        <v>2265000</v>
      </c>
      <c r="Y426" s="1">
        <v>2265000</v>
      </c>
      <c r="Z426" s="5">
        <v>44344</v>
      </c>
      <c r="AA426" s="1">
        <v>2265000</v>
      </c>
      <c r="AB426" s="1" t="s">
        <v>204</v>
      </c>
      <c r="AC426" s="5">
        <v>44425</v>
      </c>
      <c r="AF426" s="1">
        <v>10128</v>
      </c>
      <c r="AI426" s="1" t="s">
        <v>54</v>
      </c>
      <c r="AJ426" s="1">
        <v>2018</v>
      </c>
      <c r="AK426" s="1" t="s">
        <v>55</v>
      </c>
      <c r="AL426" s="1">
        <v>48</v>
      </c>
    </row>
    <row r="427" spans="1:38" x14ac:dyDescent="0.2">
      <c r="A427" s="2" t="str">
        <f>HYPERLINK("https://www.compass.com/listing/164-west-74th-street-unit-5a-manhattan-ny-10023/406561203223921713/","164 W 74th St, Unit 5A")</f>
        <v>164 W 74th St, Unit 5A</v>
      </c>
      <c r="B427" s="2" t="str">
        <f>HYPERLINK("https://www.compass.com/building/the-marbury-manhattan-ny/282067269712909941/","The Marbury")</f>
        <v>The Marbury</v>
      </c>
      <c r="C427" s="1" t="s">
        <v>47</v>
      </c>
      <c r="D427" s="1" t="s">
        <v>41</v>
      </c>
      <c r="E427" s="3">
        <v>4800000</v>
      </c>
      <c r="F427" s="1">
        <v>2519.6850393700702</v>
      </c>
      <c r="G427" s="1">
        <v>5</v>
      </c>
      <c r="H427" s="1">
        <v>3</v>
      </c>
      <c r="I427" s="1">
        <v>3</v>
      </c>
      <c r="J427" s="1">
        <v>2.5</v>
      </c>
      <c r="K427" s="1">
        <v>2</v>
      </c>
      <c r="L427" s="1">
        <v>1</v>
      </c>
      <c r="M427" s="4">
        <v>1905</v>
      </c>
      <c r="N427" s="1">
        <v>2169.71</v>
      </c>
      <c r="O427" s="1">
        <v>5289.13</v>
      </c>
      <c r="P427" s="1">
        <v>3119.4166666666601</v>
      </c>
      <c r="S427" s="1" t="s">
        <v>42</v>
      </c>
      <c r="T427" s="1" t="s">
        <v>203</v>
      </c>
      <c r="V427" s="5">
        <v>44047</v>
      </c>
      <c r="W427" s="5">
        <v>43813</v>
      </c>
      <c r="X427" s="1">
        <v>4800000</v>
      </c>
      <c r="Z427" s="5">
        <v>43813</v>
      </c>
      <c r="AB427" s="1" t="s">
        <v>204</v>
      </c>
      <c r="AF427" s="1">
        <v>10023</v>
      </c>
      <c r="AI427" s="1" t="s">
        <v>189</v>
      </c>
      <c r="AJ427" s="1">
        <v>2019</v>
      </c>
      <c r="AK427" s="1" t="s">
        <v>87</v>
      </c>
      <c r="AL427" s="1">
        <v>14</v>
      </c>
    </row>
    <row r="428" spans="1:38" x14ac:dyDescent="0.2">
      <c r="A428" s="2" t="str">
        <f>HYPERLINK("https://www.compass.com/listing/302-east-96th-street-unit-902-manhattan-ny-10128/780362918402030529/","302 E 96th St, Unit 902")</f>
        <v>302 E 96th St, Unit 902</v>
      </c>
      <c r="B428" s="2" t="str">
        <f>HYPERLINK("https://www.compass.com/building/302-e-96th-st-manhattan-ny/282050840162756469/","302 E 96th St")</f>
        <v>302 E 96th St</v>
      </c>
      <c r="C428" s="1" t="s">
        <v>53</v>
      </c>
      <c r="D428" s="1" t="s">
        <v>41</v>
      </c>
      <c r="E428" s="3">
        <v>1425000</v>
      </c>
      <c r="F428" s="1">
        <v>1455.5669050050999</v>
      </c>
      <c r="G428" s="1">
        <v>4</v>
      </c>
      <c r="H428" s="1">
        <v>1</v>
      </c>
      <c r="I428" s="1">
        <v>2</v>
      </c>
      <c r="J428" s="1">
        <v>2</v>
      </c>
      <c r="K428" s="1">
        <v>2</v>
      </c>
      <c r="M428" s="1">
        <v>979</v>
      </c>
      <c r="N428" s="1">
        <v>1048</v>
      </c>
      <c r="O428" s="1">
        <v>1949</v>
      </c>
      <c r="P428" s="1">
        <v>901</v>
      </c>
      <c r="Q428" s="1" t="s">
        <v>42</v>
      </c>
      <c r="S428" s="1" t="s">
        <v>42</v>
      </c>
      <c r="T428" s="1" t="s">
        <v>203</v>
      </c>
      <c r="V428" s="5">
        <v>44336</v>
      </c>
      <c r="W428" s="5">
        <v>44329</v>
      </c>
      <c r="X428" s="1">
        <v>1450000</v>
      </c>
      <c r="Y428" s="1">
        <v>1450000</v>
      </c>
      <c r="Z428" s="5">
        <v>44329</v>
      </c>
      <c r="AA428" s="1">
        <v>1425000</v>
      </c>
      <c r="AB428" s="1" t="s">
        <v>254</v>
      </c>
      <c r="AC428" s="5">
        <v>44335</v>
      </c>
      <c r="AF428" s="1">
        <v>10128</v>
      </c>
      <c r="AI428" s="1" t="s">
        <v>74</v>
      </c>
      <c r="AJ428" s="1">
        <v>2018</v>
      </c>
      <c r="AK428" s="1" t="s">
        <v>55</v>
      </c>
      <c r="AL428" s="1">
        <v>48</v>
      </c>
    </row>
    <row r="429" spans="1:38" x14ac:dyDescent="0.2">
      <c r="A429" s="2" t="str">
        <f>HYPERLINK("https://www.compass.com/listing/164-west-74th-street-unit-phb-manhattan-ny-10023/296880757352330241/","164 W 74th St, Unit PHB")</f>
        <v>164 W 74th St, Unit PHB</v>
      </c>
      <c r="B429" s="2" t="str">
        <f>HYPERLINK("https://www.compass.com/building/the-marbury-manhattan-ny/282067269712909941/","The Marbury")</f>
        <v>The Marbury</v>
      </c>
      <c r="C429" s="1" t="s">
        <v>47</v>
      </c>
      <c r="D429" s="1" t="s">
        <v>41</v>
      </c>
      <c r="E429" s="3">
        <v>5200000</v>
      </c>
      <c r="F429" s="1">
        <v>2311.1111111111099</v>
      </c>
      <c r="G429" s="1">
        <v>6</v>
      </c>
      <c r="H429" s="1">
        <v>3</v>
      </c>
      <c r="I429" s="1">
        <v>3</v>
      </c>
      <c r="J429" s="1">
        <v>3</v>
      </c>
      <c r="K429" s="1">
        <v>3</v>
      </c>
      <c r="M429" s="4">
        <v>2250</v>
      </c>
      <c r="N429" s="1">
        <v>2793</v>
      </c>
      <c r="O429" s="1">
        <v>6809</v>
      </c>
      <c r="P429" s="1">
        <v>4016</v>
      </c>
      <c r="Q429" s="1" t="s">
        <v>42</v>
      </c>
      <c r="S429" s="1" t="s">
        <v>42</v>
      </c>
      <c r="T429" s="1" t="s">
        <v>203</v>
      </c>
      <c r="U429" s="1">
        <v>412</v>
      </c>
      <c r="V429" s="5">
        <v>44181</v>
      </c>
      <c r="W429" s="5">
        <v>43661</v>
      </c>
      <c r="X429" s="1">
        <v>6450000</v>
      </c>
      <c r="Y429" s="1">
        <v>6450000</v>
      </c>
      <c r="AA429" s="1">
        <v>5200000</v>
      </c>
      <c r="AB429" s="1" t="s">
        <v>255</v>
      </c>
      <c r="AC429" s="5">
        <v>44180</v>
      </c>
      <c r="AF429" s="1">
        <v>10023</v>
      </c>
      <c r="AI429" s="1" t="s">
        <v>189</v>
      </c>
      <c r="AJ429" s="1">
        <v>2019</v>
      </c>
      <c r="AK429" s="1" t="s">
        <v>87</v>
      </c>
      <c r="AL429" s="1">
        <v>14</v>
      </c>
    </row>
    <row r="430" spans="1:38" x14ac:dyDescent="0.2">
      <c r="A430" s="2" t="str">
        <f>HYPERLINK("https://www.compass.com/listing/302-east-96th-street-unit-401-manhattan-ny-10128/766005005583381745/","302 E 96th St, Unit 401")</f>
        <v>302 E 96th St, Unit 401</v>
      </c>
      <c r="B430" s="2" t="str">
        <f t="shared" ref="B430:B431" si="67">HYPERLINK("https://www.compass.com/building/302-e-96th-st-manhattan-ny/282050840162756469/","302 E 96th St")</f>
        <v>302 E 96th St</v>
      </c>
      <c r="C430" s="1" t="s">
        <v>53</v>
      </c>
      <c r="D430" s="1" t="s">
        <v>41</v>
      </c>
      <c r="E430" s="3">
        <v>745000</v>
      </c>
      <c r="F430" s="1">
        <v>1427.2030651340899</v>
      </c>
      <c r="G430" s="1">
        <v>2</v>
      </c>
      <c r="H430" s="1">
        <v>1</v>
      </c>
      <c r="I430" s="1">
        <v>1</v>
      </c>
      <c r="J430" s="1">
        <v>1</v>
      </c>
      <c r="K430" s="1">
        <v>1</v>
      </c>
      <c r="M430" s="1">
        <v>522</v>
      </c>
      <c r="N430" s="1">
        <v>521</v>
      </c>
      <c r="O430" s="1">
        <v>969</v>
      </c>
      <c r="P430" s="1">
        <v>448</v>
      </c>
      <c r="Q430" s="1" t="s">
        <v>42</v>
      </c>
      <c r="S430" s="1" t="s">
        <v>42</v>
      </c>
      <c r="T430" s="1" t="s">
        <v>203</v>
      </c>
      <c r="V430" s="5">
        <v>44401</v>
      </c>
      <c r="W430" s="5">
        <v>44309</v>
      </c>
      <c r="X430" s="1">
        <v>905000</v>
      </c>
      <c r="Y430" s="1">
        <v>905000</v>
      </c>
      <c r="Z430" s="5">
        <v>44309</v>
      </c>
      <c r="AA430" s="1">
        <v>745000</v>
      </c>
      <c r="AB430" s="1" t="s">
        <v>256</v>
      </c>
      <c r="AC430" s="5">
        <v>44400</v>
      </c>
      <c r="AF430" s="1">
        <v>10128</v>
      </c>
      <c r="AI430" s="1" t="s">
        <v>74</v>
      </c>
      <c r="AJ430" s="1">
        <v>2018</v>
      </c>
      <c r="AK430" s="1" t="s">
        <v>55</v>
      </c>
      <c r="AL430" s="1">
        <v>48</v>
      </c>
    </row>
    <row r="431" spans="1:38" x14ac:dyDescent="0.2">
      <c r="A431" s="2" t="str">
        <f>HYPERLINK("https://www.compass.com/listing/302-east-96th-street-unit-502-manhattan-ny-10128/739163081421520601/","302 E 96th St, Unit 502")</f>
        <v>302 E 96th St, Unit 502</v>
      </c>
      <c r="B431" s="2" t="str">
        <f t="shared" si="67"/>
        <v>302 E 96th St</v>
      </c>
      <c r="C431" s="1" t="s">
        <v>53</v>
      </c>
      <c r="D431" s="1" t="s">
        <v>41</v>
      </c>
      <c r="E431" s="3">
        <v>1301771</v>
      </c>
      <c r="F431" s="1">
        <v>1329.69484167517</v>
      </c>
      <c r="G431" s="1">
        <v>4</v>
      </c>
      <c r="H431" s="1">
        <v>1</v>
      </c>
      <c r="I431" s="1">
        <v>2</v>
      </c>
      <c r="J431" s="1">
        <v>2</v>
      </c>
      <c r="K431" s="1">
        <v>2</v>
      </c>
      <c r="M431" s="1">
        <v>979</v>
      </c>
      <c r="N431" s="1">
        <v>1006.47</v>
      </c>
      <c r="O431" s="1">
        <v>1871.3</v>
      </c>
      <c r="P431" s="1">
        <v>864.83333333333303</v>
      </c>
      <c r="Q431" s="1" t="s">
        <v>42</v>
      </c>
      <c r="S431" s="1" t="s">
        <v>42</v>
      </c>
      <c r="T431" s="1" t="s">
        <v>203</v>
      </c>
      <c r="U431" s="1">
        <v>76</v>
      </c>
      <c r="V431" s="5">
        <v>44385</v>
      </c>
      <c r="W431" s="5">
        <v>44272</v>
      </c>
      <c r="X431" s="1">
        <v>1350000</v>
      </c>
      <c r="Y431" s="1">
        <v>1350000</v>
      </c>
      <c r="Z431" s="5">
        <v>44348</v>
      </c>
      <c r="AA431" s="1">
        <v>1301771.25</v>
      </c>
      <c r="AB431" s="1" t="s">
        <v>257</v>
      </c>
      <c r="AC431" s="5">
        <v>44383</v>
      </c>
      <c r="AF431" s="1">
        <v>10128</v>
      </c>
      <c r="AI431" s="1" t="s">
        <v>74</v>
      </c>
      <c r="AJ431" s="1">
        <v>2018</v>
      </c>
      <c r="AK431" s="1" t="s">
        <v>55</v>
      </c>
      <c r="AL431" s="1">
        <v>48</v>
      </c>
    </row>
    <row r="432" spans="1:38" x14ac:dyDescent="0.2">
      <c r="A432" s="2" t="str">
        <f>HYPERLINK("https://www.compass.com/listing/164-west-74th-street-unit-pha-manhattan-ny-10023/449944352704398905/","164 W 74th St, Unit PHA")</f>
        <v>164 W 74th St, Unit PHA</v>
      </c>
      <c r="B432" s="2" t="str">
        <f>HYPERLINK("https://www.compass.com/building/the-marbury-manhattan-ny/282067269712909941/","The Marbury")</f>
        <v>The Marbury</v>
      </c>
      <c r="C432" s="1" t="s">
        <v>47</v>
      </c>
      <c r="D432" s="1" t="s">
        <v>41</v>
      </c>
      <c r="E432" s="3">
        <v>5650000</v>
      </c>
      <c r="F432" s="1">
        <v>2231.43759873617</v>
      </c>
      <c r="G432" s="1">
        <v>7</v>
      </c>
      <c r="H432" s="1">
        <v>4</v>
      </c>
      <c r="I432" s="1">
        <v>4</v>
      </c>
      <c r="J432" s="1">
        <v>3.5</v>
      </c>
      <c r="K432" s="1">
        <v>3</v>
      </c>
      <c r="L432" s="1">
        <v>1</v>
      </c>
      <c r="M432" s="4">
        <v>2532</v>
      </c>
      <c r="N432" s="1">
        <v>3195</v>
      </c>
      <c r="O432" s="1">
        <v>7790</v>
      </c>
      <c r="P432" s="1">
        <v>4595</v>
      </c>
      <c r="Q432" s="1" t="s">
        <v>42</v>
      </c>
      <c r="S432" s="1" t="s">
        <v>42</v>
      </c>
      <c r="T432" s="1" t="s">
        <v>203</v>
      </c>
      <c r="U432" s="1">
        <v>213</v>
      </c>
      <c r="V432" s="5">
        <v>44181</v>
      </c>
      <c r="W432" s="5">
        <v>43873</v>
      </c>
      <c r="X432" s="1">
        <v>6995000</v>
      </c>
      <c r="Y432" s="1">
        <v>6995000</v>
      </c>
      <c r="AA432" s="1">
        <v>5650000</v>
      </c>
      <c r="AB432" s="1" t="s">
        <v>258</v>
      </c>
      <c r="AC432" s="5">
        <v>44180</v>
      </c>
      <c r="AF432" s="1">
        <v>10023</v>
      </c>
      <c r="AI432" s="1" t="s">
        <v>189</v>
      </c>
      <c r="AJ432" s="1">
        <v>2019</v>
      </c>
      <c r="AK432" s="1" t="s">
        <v>55</v>
      </c>
      <c r="AL432" s="1">
        <v>14</v>
      </c>
    </row>
    <row r="433" spans="1:38" x14ac:dyDescent="0.2">
      <c r="A433" s="2" t="str">
        <f>HYPERLINK("https://www.compass.com/listing/302-east-96th-st-unit-1301-1302-manhattan-ny-10128/380262723450986289/","302 East 96th St, Unit 1301 / 1302")</f>
        <v>302 East 96th St, Unit 1301 / 1302</v>
      </c>
      <c r="B433" s="2" t="str">
        <f t="shared" ref="B433:B440" si="68">HYPERLINK("https://www.compass.com/building/302-e-96th-st-manhattan-ny/282050840162756469/","302 E 96th St")</f>
        <v>302 E 96th St</v>
      </c>
      <c r="C433" s="1" t="s">
        <v>53</v>
      </c>
      <c r="D433" s="1" t="s">
        <v>41</v>
      </c>
      <c r="E433" s="3">
        <v>2697800</v>
      </c>
      <c r="F433" s="1">
        <v>1793.75</v>
      </c>
      <c r="G433" s="1">
        <v>5</v>
      </c>
      <c r="H433" s="1">
        <v>3</v>
      </c>
      <c r="I433" s="1">
        <v>3</v>
      </c>
      <c r="J433" s="1">
        <v>3</v>
      </c>
      <c r="K433" s="1">
        <v>3</v>
      </c>
      <c r="M433" s="4">
        <v>1504</v>
      </c>
      <c r="N433" s="1">
        <v>1668.86</v>
      </c>
      <c r="O433" s="1">
        <v>3122.3199999999902</v>
      </c>
      <c r="P433" s="1">
        <v>1453.5</v>
      </c>
      <c r="S433" s="1" t="s">
        <v>42</v>
      </c>
      <c r="T433" s="1" t="s">
        <v>203</v>
      </c>
      <c r="U433" s="1">
        <v>184</v>
      </c>
      <c r="V433" s="5">
        <v>44134</v>
      </c>
      <c r="W433" s="5">
        <v>43792</v>
      </c>
      <c r="X433" s="1">
        <v>2750000</v>
      </c>
      <c r="Y433" s="1">
        <v>2750000</v>
      </c>
      <c r="Z433" s="5">
        <v>44077</v>
      </c>
      <c r="AA433" s="1">
        <v>2697800</v>
      </c>
      <c r="AB433" s="1" t="s">
        <v>204</v>
      </c>
      <c r="AC433" s="5">
        <v>44134</v>
      </c>
      <c r="AF433" s="1">
        <v>10128</v>
      </c>
      <c r="AI433" s="1" t="s">
        <v>259</v>
      </c>
      <c r="AJ433" s="1">
        <v>2018</v>
      </c>
      <c r="AK433" s="1" t="s">
        <v>50</v>
      </c>
      <c r="AL433" s="1">
        <v>48</v>
      </c>
    </row>
    <row r="434" spans="1:38" x14ac:dyDescent="0.2">
      <c r="A434" s="2" t="str">
        <f>HYPERLINK("https://www.compass.com/listing/302-east-96th-street-unit-201-manhattan-ny-10128/425301492629399425/","302 E 96th St, Unit 201")</f>
        <v>302 E 96th St, Unit 201</v>
      </c>
      <c r="B434" s="2" t="str">
        <f t="shared" si="68"/>
        <v>302 E 96th St</v>
      </c>
      <c r="C434" s="1" t="s">
        <v>53</v>
      </c>
      <c r="D434" s="1" t="s">
        <v>41</v>
      </c>
      <c r="E434" s="3">
        <v>1200000</v>
      </c>
      <c r="F434" s="1">
        <v>1331.8534961154201</v>
      </c>
      <c r="G434" s="1">
        <v>4</v>
      </c>
      <c r="H434" s="1">
        <v>1</v>
      </c>
      <c r="I434" s="1">
        <v>2</v>
      </c>
      <c r="J434" s="1">
        <v>2</v>
      </c>
      <c r="K434" s="1">
        <v>2</v>
      </c>
      <c r="M434" s="1">
        <v>901</v>
      </c>
      <c r="N434" s="1">
        <v>905</v>
      </c>
      <c r="O434" s="1">
        <v>1156</v>
      </c>
      <c r="P434" s="1">
        <v>251</v>
      </c>
      <c r="Q434" s="1" t="s">
        <v>42</v>
      </c>
      <c r="S434" s="1" t="s">
        <v>42</v>
      </c>
      <c r="T434" s="1" t="s">
        <v>203</v>
      </c>
      <c r="V434" s="5">
        <v>43965</v>
      </c>
      <c r="W434" s="5">
        <v>43839</v>
      </c>
      <c r="X434" s="1">
        <v>1495000</v>
      </c>
      <c r="Y434" s="1">
        <v>1495000</v>
      </c>
      <c r="Z434" s="5">
        <v>43839</v>
      </c>
      <c r="AA434" s="1">
        <v>1200000</v>
      </c>
      <c r="AB434" s="1" t="s">
        <v>260</v>
      </c>
      <c r="AC434" s="5">
        <v>43844</v>
      </c>
      <c r="AF434" s="1">
        <v>10128</v>
      </c>
      <c r="AI434" s="1" t="s">
        <v>261</v>
      </c>
      <c r="AJ434" s="1">
        <v>2018</v>
      </c>
      <c r="AK434" s="1" t="s">
        <v>50</v>
      </c>
      <c r="AL434" s="1">
        <v>48</v>
      </c>
    </row>
    <row r="435" spans="1:38" x14ac:dyDescent="0.2">
      <c r="A435" s="2" t="str">
        <f>HYPERLINK("https://www.compass.com/listing/302-east-96th-street-unit-1002-manhattan-ny-10128/445713879139102001/","302 E 96th St, Unit 1002")</f>
        <v>302 E 96th St, Unit 1002</v>
      </c>
      <c r="B435" s="2" t="str">
        <f t="shared" si="68"/>
        <v>302 E 96th St</v>
      </c>
      <c r="C435" s="1" t="s">
        <v>53</v>
      </c>
      <c r="D435" s="1" t="s">
        <v>41</v>
      </c>
      <c r="E435" s="3">
        <v>1705569</v>
      </c>
      <c r="F435" s="1">
        <v>1742.1539836567899</v>
      </c>
      <c r="G435" s="1">
        <v>3</v>
      </c>
      <c r="H435" s="1">
        <v>2</v>
      </c>
      <c r="I435" s="1">
        <v>2</v>
      </c>
      <c r="J435" s="1">
        <v>2</v>
      </c>
      <c r="K435" s="1">
        <v>2</v>
      </c>
      <c r="M435" s="1">
        <v>979</v>
      </c>
      <c r="N435" s="1">
        <v>1058</v>
      </c>
      <c r="O435" s="1">
        <v>1351</v>
      </c>
      <c r="P435" s="1">
        <v>293</v>
      </c>
      <c r="Q435" s="1" t="s">
        <v>42</v>
      </c>
      <c r="S435" s="1" t="s">
        <v>42</v>
      </c>
      <c r="T435" s="1" t="s">
        <v>203</v>
      </c>
      <c r="V435" s="5">
        <v>44056</v>
      </c>
      <c r="Y435" s="1">
        <v>1695000</v>
      </c>
      <c r="Z435" s="5">
        <v>43867</v>
      </c>
      <c r="AA435" s="1">
        <v>1705568.75</v>
      </c>
      <c r="AB435" s="1" t="s">
        <v>262</v>
      </c>
      <c r="AC435" s="5">
        <v>43979</v>
      </c>
      <c r="AF435" s="1">
        <v>10128</v>
      </c>
      <c r="AI435" s="1" t="s">
        <v>261</v>
      </c>
      <c r="AJ435" s="1">
        <v>2018</v>
      </c>
      <c r="AK435" s="1" t="s">
        <v>50</v>
      </c>
      <c r="AL435" s="1">
        <v>48</v>
      </c>
    </row>
    <row r="436" spans="1:38" x14ac:dyDescent="0.2">
      <c r="A436" s="2" t="str">
        <f>HYPERLINK("https://www.compass.com/listing/302-east-96th-street-unit-501-manhattan-ny-10128/739162988920431569/","302 E 96th St, Unit 501")</f>
        <v>302 E 96th St, Unit 501</v>
      </c>
      <c r="B436" s="2" t="str">
        <f t="shared" si="68"/>
        <v>302 E 96th St</v>
      </c>
      <c r="C436" s="1" t="s">
        <v>53</v>
      </c>
      <c r="D436" s="1" t="s">
        <v>41</v>
      </c>
      <c r="E436" s="3">
        <v>760000</v>
      </c>
      <c r="F436" s="1">
        <v>1455.9386973180001</v>
      </c>
      <c r="G436" s="1">
        <v>2</v>
      </c>
      <c r="H436" s="1">
        <v>1</v>
      </c>
      <c r="I436" s="1">
        <v>1</v>
      </c>
      <c r="J436" s="1">
        <v>1</v>
      </c>
      <c r="K436" s="1">
        <v>1</v>
      </c>
      <c r="M436" s="1">
        <v>522</v>
      </c>
      <c r="N436" s="1">
        <v>526.47</v>
      </c>
      <c r="O436" s="1">
        <v>978.83</v>
      </c>
      <c r="P436" s="1">
        <v>452.33333333333297</v>
      </c>
      <c r="Q436" s="1" t="s">
        <v>42</v>
      </c>
      <c r="S436" s="1" t="s">
        <v>42</v>
      </c>
      <c r="T436" s="1" t="s">
        <v>203</v>
      </c>
      <c r="U436" s="1">
        <v>50</v>
      </c>
      <c r="V436" s="5">
        <v>44387</v>
      </c>
      <c r="W436" s="5">
        <v>44272</v>
      </c>
      <c r="X436" s="1">
        <v>795000</v>
      </c>
      <c r="Y436" s="1">
        <v>795000</v>
      </c>
      <c r="Z436" s="5">
        <v>44323</v>
      </c>
      <c r="AA436" s="1">
        <v>760000</v>
      </c>
      <c r="AB436" s="1" t="s">
        <v>263</v>
      </c>
      <c r="AC436" s="5">
        <v>44385</v>
      </c>
      <c r="AF436" s="1">
        <v>10128</v>
      </c>
      <c r="AI436" s="1" t="s">
        <v>74</v>
      </c>
      <c r="AJ436" s="1">
        <v>2018</v>
      </c>
      <c r="AK436" s="1" t="s">
        <v>55</v>
      </c>
      <c r="AL436" s="1">
        <v>48</v>
      </c>
    </row>
    <row r="437" spans="1:38" x14ac:dyDescent="0.2">
      <c r="A437" s="2" t="str">
        <f>HYPERLINK("https://www.compass.com/listing/302-east-96th-street-unit-403-manhattan-ny-10128/425326865283178497/","302 E 96th St, Unit 403")</f>
        <v>302 E 96th St, Unit 403</v>
      </c>
      <c r="B437" s="2" t="str">
        <f t="shared" si="68"/>
        <v>302 E 96th St</v>
      </c>
      <c r="C437" s="1" t="s">
        <v>53</v>
      </c>
      <c r="D437" s="1" t="s">
        <v>41</v>
      </c>
      <c r="E437" s="3">
        <v>1868489</v>
      </c>
      <c r="F437" s="1">
        <v>1318.6229710656301</v>
      </c>
      <c r="G437" s="1">
        <v>4</v>
      </c>
      <c r="H437" s="1">
        <v>3</v>
      </c>
      <c r="I437" s="1">
        <v>3</v>
      </c>
      <c r="J437" s="1">
        <v>3</v>
      </c>
      <c r="K437" s="1">
        <v>3</v>
      </c>
      <c r="M437" s="4">
        <v>1417</v>
      </c>
      <c r="N437" s="1">
        <v>1451</v>
      </c>
      <c r="O437" s="1">
        <v>1853</v>
      </c>
      <c r="P437" s="1">
        <v>402</v>
      </c>
      <c r="Q437" s="1" t="s">
        <v>42</v>
      </c>
      <c r="S437" s="1" t="s">
        <v>42</v>
      </c>
      <c r="T437" s="1" t="s">
        <v>203</v>
      </c>
      <c r="V437" s="5">
        <v>43958</v>
      </c>
      <c r="W437" s="5">
        <v>43839</v>
      </c>
      <c r="X437" s="1">
        <v>2269000</v>
      </c>
      <c r="Y437" s="1">
        <v>2269000</v>
      </c>
      <c r="Z437" s="5">
        <v>43839</v>
      </c>
      <c r="AA437" s="1">
        <v>1868488.75</v>
      </c>
      <c r="AB437" s="1" t="s">
        <v>264</v>
      </c>
      <c r="AC437" s="5">
        <v>43955</v>
      </c>
      <c r="AF437" s="1">
        <v>10128</v>
      </c>
      <c r="AI437" s="1" t="s">
        <v>261</v>
      </c>
      <c r="AJ437" s="1">
        <v>2018</v>
      </c>
      <c r="AK437" s="1" t="s">
        <v>50</v>
      </c>
      <c r="AL437" s="1">
        <v>48</v>
      </c>
    </row>
    <row r="438" spans="1:38" x14ac:dyDescent="0.2">
      <c r="A438" s="2" t="str">
        <f>HYPERLINK("https://www.compass.com/listing/302-east-96th-street-unit-1201-manhattan-ny-10128/327402678468674257/","302 E 96th St, Unit 1201")</f>
        <v>302 E 96th St, Unit 1201</v>
      </c>
      <c r="B438" s="2" t="str">
        <f t="shared" si="68"/>
        <v>302 E 96th St</v>
      </c>
      <c r="C438" s="1" t="s">
        <v>53</v>
      </c>
      <c r="D438" s="1" t="s">
        <v>41</v>
      </c>
      <c r="E438" s="3">
        <v>987703</v>
      </c>
      <c r="F438" s="1">
        <v>1892.1513409961599</v>
      </c>
      <c r="G438" s="1">
        <v>2</v>
      </c>
      <c r="H438" s="1">
        <v>1</v>
      </c>
      <c r="I438" s="1">
        <v>1</v>
      </c>
      <c r="J438" s="1">
        <v>1</v>
      </c>
      <c r="K438" s="1">
        <v>1</v>
      </c>
      <c r="M438" s="1">
        <v>522</v>
      </c>
      <c r="N438" s="1">
        <v>566.02</v>
      </c>
      <c r="O438" s="1">
        <v>722.93</v>
      </c>
      <c r="P438" s="1">
        <v>156.916666666666</v>
      </c>
      <c r="Q438" s="1" t="s">
        <v>42</v>
      </c>
      <c r="S438" s="1" t="s">
        <v>42</v>
      </c>
      <c r="T438" s="1" t="s">
        <v>203</v>
      </c>
      <c r="U438" s="1">
        <v>2</v>
      </c>
      <c r="V438" s="5">
        <v>43798</v>
      </c>
      <c r="W438" s="5">
        <v>43704</v>
      </c>
      <c r="X438" s="1">
        <v>1100000</v>
      </c>
      <c r="Y438" s="1">
        <v>1100000</v>
      </c>
      <c r="Z438" s="5">
        <v>43707</v>
      </c>
      <c r="AA438" s="1">
        <v>987703</v>
      </c>
      <c r="AB438" s="1" t="s">
        <v>265</v>
      </c>
      <c r="AC438" s="5">
        <v>43760</v>
      </c>
      <c r="AF438" s="1">
        <v>10128</v>
      </c>
      <c r="AI438" s="1" t="s">
        <v>54</v>
      </c>
      <c r="AJ438" s="1">
        <v>2018</v>
      </c>
      <c r="AK438" s="1" t="s">
        <v>55</v>
      </c>
      <c r="AL438" s="1">
        <v>48</v>
      </c>
    </row>
    <row r="439" spans="1:38" x14ac:dyDescent="0.2">
      <c r="A439" s="2" t="str">
        <f>HYPERLINK("https://www.compass.com/listing/302-east-96th-street-unit-903-manhattan-ny-10128/425332094774833057/","302 E 96th St, Unit 903")</f>
        <v>302 E 96th St, Unit 903</v>
      </c>
      <c r="B439" s="2" t="str">
        <f t="shared" si="68"/>
        <v>302 E 96th St</v>
      </c>
      <c r="C439" s="1" t="s">
        <v>53</v>
      </c>
      <c r="D439" s="1" t="s">
        <v>41</v>
      </c>
      <c r="E439" s="3">
        <v>2087413</v>
      </c>
      <c r="F439" s="1">
        <v>1473.1210303457999</v>
      </c>
      <c r="G439" s="1">
        <v>3</v>
      </c>
      <c r="H439" s="1">
        <v>3</v>
      </c>
      <c r="I439" s="1">
        <v>3</v>
      </c>
      <c r="J439" s="1">
        <v>3</v>
      </c>
      <c r="K439" s="1">
        <v>3</v>
      </c>
      <c r="M439" s="4">
        <v>1417</v>
      </c>
      <c r="N439" s="1">
        <v>1526</v>
      </c>
      <c r="O439" s="1">
        <v>1949</v>
      </c>
      <c r="P439" s="1">
        <v>423</v>
      </c>
      <c r="Q439" s="1" t="s">
        <v>42</v>
      </c>
      <c r="S439" s="1" t="s">
        <v>42</v>
      </c>
      <c r="T439" s="1" t="s">
        <v>203</v>
      </c>
      <c r="V439" s="5">
        <v>43917</v>
      </c>
      <c r="Y439" s="1">
        <v>2165000</v>
      </c>
      <c r="Z439" s="5">
        <v>43848</v>
      </c>
      <c r="AA439" s="1">
        <v>2087412.5</v>
      </c>
      <c r="AB439" s="1" t="s">
        <v>266</v>
      </c>
      <c r="AC439" s="5">
        <v>43944</v>
      </c>
      <c r="AF439" s="1">
        <v>10128</v>
      </c>
      <c r="AI439" s="1" t="s">
        <v>261</v>
      </c>
      <c r="AJ439" s="1">
        <v>2018</v>
      </c>
      <c r="AK439" s="1" t="s">
        <v>50</v>
      </c>
      <c r="AL439" s="1">
        <v>48</v>
      </c>
    </row>
    <row r="440" spans="1:38" x14ac:dyDescent="0.2">
      <c r="A440" s="2" t="str">
        <f>HYPERLINK("https://www.compass.com/listing/302-east-96th-street-unit-ph3n-manhattan-ny-10128/756370067143082073/","302 E 96th St, Unit PH3N")</f>
        <v>302 E 96th St, Unit PH3N</v>
      </c>
      <c r="B440" s="2" t="str">
        <f t="shared" si="68"/>
        <v>302 E 96th St</v>
      </c>
      <c r="C440" s="1" t="s">
        <v>53</v>
      </c>
      <c r="D440" s="1" t="s">
        <v>41</v>
      </c>
      <c r="E440" s="3">
        <v>1832850</v>
      </c>
      <c r="F440" s="1">
        <v>1672.3083941605801</v>
      </c>
      <c r="G440" s="1">
        <v>4</v>
      </c>
      <c r="H440" s="1">
        <v>2</v>
      </c>
      <c r="I440" s="1">
        <v>2</v>
      </c>
      <c r="J440" s="1">
        <v>2</v>
      </c>
      <c r="K440" s="1">
        <v>2</v>
      </c>
      <c r="M440" s="4">
        <v>1096</v>
      </c>
      <c r="N440" s="1">
        <v>1276</v>
      </c>
      <c r="O440" s="1">
        <v>2372</v>
      </c>
      <c r="P440" s="1">
        <v>1096</v>
      </c>
      <c r="Q440" s="1" t="s">
        <v>42</v>
      </c>
      <c r="S440" s="1" t="s">
        <v>42</v>
      </c>
      <c r="T440" s="1" t="s">
        <v>203</v>
      </c>
      <c r="V440" s="5">
        <v>44342</v>
      </c>
      <c r="Y440" s="1">
        <v>2225000</v>
      </c>
      <c r="Z440" s="5">
        <v>44295</v>
      </c>
      <c r="AA440" s="1">
        <v>1832850</v>
      </c>
      <c r="AB440" s="1" t="s">
        <v>267</v>
      </c>
      <c r="AC440" s="5">
        <v>44337</v>
      </c>
      <c r="AF440" s="1">
        <v>10128</v>
      </c>
      <c r="AI440" s="1" t="s">
        <v>74</v>
      </c>
      <c r="AJ440" s="1">
        <v>2018</v>
      </c>
      <c r="AK440" s="1" t="s">
        <v>55</v>
      </c>
      <c r="AL440" s="1">
        <v>48</v>
      </c>
    </row>
    <row r="441" spans="1:38" x14ac:dyDescent="0.2">
      <c r="A441" s="2" t="str">
        <f>HYPERLINK("https://www.compass.com/listing/200-east-62nd-street-unit-4a-manhattan-ny-10065/723249108819452185/","200 E 62nd St, Unit 4A")</f>
        <v>200 E 62nd St, Unit 4A</v>
      </c>
      <c r="B441" s="2" t="str">
        <f>HYPERLINK("https://www.compass.com/building/200-e-62-manhattan-ny/282037506914928197/","200 E 62")</f>
        <v>200 E 62</v>
      </c>
      <c r="C441" s="1" t="s">
        <v>53</v>
      </c>
      <c r="D441" s="1" t="s">
        <v>41</v>
      </c>
      <c r="E441" s="3">
        <v>2750000</v>
      </c>
      <c r="F441" s="1">
        <v>1618.59917598587</v>
      </c>
      <c r="G441" s="1">
        <v>5</v>
      </c>
      <c r="H441" s="1">
        <v>2</v>
      </c>
      <c r="I441" s="1">
        <v>3</v>
      </c>
      <c r="J441" s="1">
        <v>2.5</v>
      </c>
      <c r="K441" s="1">
        <v>2</v>
      </c>
      <c r="L441" s="1">
        <v>1</v>
      </c>
      <c r="M441" s="4">
        <v>1699</v>
      </c>
      <c r="N441" s="1">
        <v>1728.9</v>
      </c>
      <c r="O441" s="1">
        <v>3318.9</v>
      </c>
      <c r="P441" s="1">
        <v>1590</v>
      </c>
      <c r="Q441" s="1" t="s">
        <v>42</v>
      </c>
      <c r="S441" s="1" t="s">
        <v>42</v>
      </c>
      <c r="T441" s="1" t="s">
        <v>203</v>
      </c>
      <c r="U441" s="1">
        <v>66</v>
      </c>
      <c r="V441" s="5">
        <v>44379</v>
      </c>
      <c r="W441" s="5">
        <v>44250</v>
      </c>
      <c r="X441" s="1">
        <v>2885000</v>
      </c>
      <c r="Y441" s="1">
        <v>2775000</v>
      </c>
      <c r="Z441" s="5">
        <v>44317</v>
      </c>
      <c r="AA441" s="1">
        <v>2750000</v>
      </c>
      <c r="AB441" s="1" t="s">
        <v>268</v>
      </c>
      <c r="AC441" s="5">
        <v>44372</v>
      </c>
      <c r="AF441" s="1">
        <v>10065</v>
      </c>
      <c r="AI441" s="1" t="s">
        <v>156</v>
      </c>
      <c r="AJ441" s="1">
        <v>1967</v>
      </c>
      <c r="AK441" s="1" t="s">
        <v>50</v>
      </c>
      <c r="AL441" s="1">
        <v>113</v>
      </c>
    </row>
    <row r="442" spans="1:38" x14ac:dyDescent="0.2">
      <c r="A442" s="2" t="str">
        <f>HYPERLINK("https://www.compass.com/listing/535-west-52nd-street-unit-9d-manhattan-ny-10019/255204901653622801/","535 W 52nd St, Unit 9D")</f>
        <v>535 W 52nd St, Unit 9D</v>
      </c>
      <c r="B442" s="2" t="str">
        <f t="shared" ref="B442:B443" si="69">HYPERLINK("https://www.compass.com/building/535-w-52nd-st-manhattan-ny/292847931621444293/","535 W 52nd St")</f>
        <v>535 W 52nd St</v>
      </c>
      <c r="C442" s="1" t="s">
        <v>57</v>
      </c>
      <c r="D442" s="1" t="s">
        <v>41</v>
      </c>
      <c r="E442" s="3">
        <v>422328</v>
      </c>
      <c r="F442" s="1">
        <v>651.74074074073997</v>
      </c>
      <c r="G442" s="1">
        <v>3</v>
      </c>
      <c r="H442" s="1">
        <v>1</v>
      </c>
      <c r="I442" s="1">
        <v>1</v>
      </c>
      <c r="J442" s="1">
        <v>1</v>
      </c>
      <c r="K442" s="1">
        <v>1</v>
      </c>
      <c r="M442" s="1">
        <v>648</v>
      </c>
      <c r="N442" s="1">
        <v>583</v>
      </c>
      <c r="O442" s="1">
        <v>1166</v>
      </c>
      <c r="Q442" s="1" t="s">
        <v>191</v>
      </c>
      <c r="S442" s="1" t="s">
        <v>191</v>
      </c>
      <c r="T442" s="1" t="s">
        <v>203</v>
      </c>
      <c r="U442" s="1">
        <v>23</v>
      </c>
      <c r="V442" s="5">
        <v>44056</v>
      </c>
      <c r="W442" s="5">
        <v>43783</v>
      </c>
      <c r="X442" s="1">
        <v>429900</v>
      </c>
      <c r="Y442" s="1">
        <v>429900</v>
      </c>
      <c r="Z442" s="5">
        <v>43820</v>
      </c>
      <c r="AA442" s="1">
        <v>422328</v>
      </c>
      <c r="AB442" s="1" t="s">
        <v>269</v>
      </c>
      <c r="AC442" s="5">
        <v>43964</v>
      </c>
      <c r="AF442" s="1">
        <v>10019</v>
      </c>
      <c r="AJ442" s="1">
        <v>2014</v>
      </c>
      <c r="AL442" s="1">
        <v>95</v>
      </c>
    </row>
    <row r="443" spans="1:38" x14ac:dyDescent="0.2">
      <c r="A443" s="2" t="str">
        <f>HYPERLINK("https://www.compass.com/listing/535-west-52nd-street-unit-4a-manhattan-ny-10019/319533739868761825/","535 W 52nd St, Unit 4A")</f>
        <v>535 W 52nd St, Unit 4A</v>
      </c>
      <c r="B443" s="2" t="str">
        <f t="shared" si="69"/>
        <v>535 W 52nd St</v>
      </c>
      <c r="C443" s="1" t="s">
        <v>57</v>
      </c>
      <c r="D443" s="1" t="s">
        <v>41</v>
      </c>
      <c r="E443" s="3">
        <v>481330</v>
      </c>
      <c r="F443" s="1">
        <v>517.55913978494596</v>
      </c>
      <c r="G443" s="1">
        <v>4</v>
      </c>
      <c r="H443" s="1">
        <v>2</v>
      </c>
      <c r="I443" s="1">
        <v>2</v>
      </c>
      <c r="J443" s="1">
        <v>2</v>
      </c>
      <c r="K443" s="1">
        <v>2</v>
      </c>
      <c r="M443" s="1">
        <v>930</v>
      </c>
      <c r="N443" s="1">
        <v>838.77</v>
      </c>
      <c r="O443" s="1">
        <v>838.77</v>
      </c>
      <c r="Q443" s="1" t="s">
        <v>191</v>
      </c>
      <c r="S443" s="1" t="s">
        <v>191</v>
      </c>
      <c r="T443" s="1" t="s">
        <v>203</v>
      </c>
      <c r="V443" s="5">
        <v>44021</v>
      </c>
      <c r="Y443" s="1">
        <v>481330</v>
      </c>
      <c r="Z443" s="5">
        <v>43722</v>
      </c>
      <c r="AA443" s="1">
        <v>481330</v>
      </c>
      <c r="AB443" s="1" t="s">
        <v>270</v>
      </c>
      <c r="AC443" s="5">
        <v>43928</v>
      </c>
      <c r="AF443" s="1">
        <v>10019</v>
      </c>
      <c r="AI443" s="1" t="s">
        <v>75</v>
      </c>
      <c r="AJ443" s="1">
        <v>2014</v>
      </c>
      <c r="AK443" s="1" t="s">
        <v>140</v>
      </c>
      <c r="AL443" s="1">
        <v>95</v>
      </c>
    </row>
    <row r="444" spans="1:38" x14ac:dyDescent="0.2">
      <c r="A444" s="2" t="str">
        <f>HYPERLINK("https://www.compass.com/listing/139-west-126th-street-unit-garden-b-manhattan-ny-10027/593612645012553377/","139 W 126th St, Unit GARDEN B")</f>
        <v>139 W 126th St, Unit GARDEN B</v>
      </c>
      <c r="B444" s="2" t="str">
        <f>HYPERLINK("https://www.compass.com/building/139-w-126th-st-manhattan-ny-10027/281978594853484453/","139 W 126th St")</f>
        <v>139 W 126th St</v>
      </c>
      <c r="C444" s="1" t="s">
        <v>131</v>
      </c>
      <c r="D444" s="1" t="s">
        <v>41</v>
      </c>
      <c r="E444" s="3">
        <v>1485000</v>
      </c>
      <c r="F444" s="1">
        <v>1066.8103448275799</v>
      </c>
      <c r="G444" s="1">
        <v>5</v>
      </c>
      <c r="H444" s="1">
        <v>2</v>
      </c>
      <c r="I444" s="1">
        <v>3</v>
      </c>
      <c r="J444" s="1">
        <v>2.5</v>
      </c>
      <c r="K444" s="1">
        <v>2</v>
      </c>
      <c r="L444" s="1">
        <v>1</v>
      </c>
      <c r="M444" s="4">
        <v>1392</v>
      </c>
      <c r="N444" s="1">
        <v>460</v>
      </c>
      <c r="O444" s="1">
        <v>1378</v>
      </c>
      <c r="P444" s="1">
        <v>918</v>
      </c>
      <c r="S444" s="1" t="s">
        <v>42</v>
      </c>
      <c r="T444" s="1" t="s">
        <v>203</v>
      </c>
      <c r="U444" s="1">
        <v>83</v>
      </c>
      <c r="V444" s="5">
        <v>44239</v>
      </c>
      <c r="W444" s="5">
        <v>44071</v>
      </c>
      <c r="X444" s="1">
        <v>1575000</v>
      </c>
      <c r="Y444" s="1">
        <v>1575000</v>
      </c>
      <c r="Z444" s="5">
        <v>44155</v>
      </c>
      <c r="AA444" s="1">
        <v>1485000</v>
      </c>
      <c r="AB444" s="1" t="s">
        <v>215</v>
      </c>
      <c r="AC444" s="5">
        <v>44229</v>
      </c>
      <c r="AF444" s="1">
        <v>10027</v>
      </c>
      <c r="AI444" s="1" t="s">
        <v>271</v>
      </c>
      <c r="AJ444" s="1">
        <v>1910</v>
      </c>
      <c r="AL444" s="1">
        <v>4</v>
      </c>
    </row>
    <row r="445" spans="1:38" x14ac:dyDescent="0.2">
      <c r="A445" s="2" t="str">
        <f>HYPERLINK("https://www.compass.com/listing/591-3rd-avenue-unit-4c-manhattan-ny-10016/302707244454093313/","591 3rd Ave, Unit 4C")</f>
        <v>591 3rd Ave, Unit 4C</v>
      </c>
      <c r="B445" s="2" t="str">
        <f>HYPERLINK("https://www.compass.com/building/the-lindley-manhattan-ny/282058799928343829/","The Lindley")</f>
        <v>The Lindley</v>
      </c>
      <c r="C445" s="1" t="s">
        <v>165</v>
      </c>
      <c r="D445" s="1" t="s">
        <v>41</v>
      </c>
      <c r="E445" s="3">
        <v>1100000</v>
      </c>
      <c r="F445" s="1">
        <v>1417.52577319587</v>
      </c>
      <c r="G445" s="1">
        <v>3</v>
      </c>
      <c r="H445" s="1">
        <v>1</v>
      </c>
      <c r="I445" s="1">
        <v>1</v>
      </c>
      <c r="J445" s="1">
        <v>1</v>
      </c>
      <c r="K445" s="1">
        <v>1</v>
      </c>
      <c r="M445" s="1">
        <v>776</v>
      </c>
      <c r="N445" s="1">
        <v>1068</v>
      </c>
      <c r="O445" s="1">
        <v>1469</v>
      </c>
      <c r="P445" s="1">
        <v>401</v>
      </c>
      <c r="Q445" s="1" t="s">
        <v>42</v>
      </c>
      <c r="S445" s="1" t="s">
        <v>42</v>
      </c>
      <c r="T445" s="1" t="s">
        <v>203</v>
      </c>
      <c r="U445" s="1">
        <v>44</v>
      </c>
      <c r="V445" s="5">
        <v>43826</v>
      </c>
      <c r="W445" s="5">
        <v>43718</v>
      </c>
      <c r="X445" s="1">
        <v>1250000</v>
      </c>
      <c r="Y445" s="1">
        <v>1250000</v>
      </c>
      <c r="Z445" s="5">
        <v>43763</v>
      </c>
      <c r="AA445" s="1">
        <v>1100000</v>
      </c>
      <c r="AB445" s="1" t="s">
        <v>272</v>
      </c>
      <c r="AC445" s="5">
        <v>43815</v>
      </c>
      <c r="AF445" s="1">
        <v>10016</v>
      </c>
      <c r="AI445" s="1" t="s">
        <v>166</v>
      </c>
      <c r="AJ445" s="1">
        <v>2018</v>
      </c>
      <c r="AK445" s="1" t="s">
        <v>81</v>
      </c>
      <c r="AL445" s="1">
        <v>74</v>
      </c>
    </row>
    <row r="446" spans="1:38" x14ac:dyDescent="0.2">
      <c r="A446" s="2" t="str">
        <f>HYPERLINK("https://www.compass.com/listing/301-west-53rd-street-unit-5j-manhattan-ny-10019/617540758395894241/","301 W 53rd St, Unit 5J")</f>
        <v>301 W 53rd St, Unit 5J</v>
      </c>
      <c r="B446" s="2" t="str">
        <f>HYPERLINK("https://www.compass.com/building/fifty-third-and-eighth-manhattan-ny/281944545158031557/","Fifty Third and Eighth")</f>
        <v>Fifty Third and Eighth</v>
      </c>
      <c r="C446" s="1" t="s">
        <v>57</v>
      </c>
      <c r="D446" s="1" t="s">
        <v>41</v>
      </c>
      <c r="E446" s="3">
        <v>869000</v>
      </c>
      <c r="F446" s="1">
        <v>1281.7109144542701</v>
      </c>
      <c r="G446" s="1">
        <v>3</v>
      </c>
      <c r="H446" s="1">
        <v>1</v>
      </c>
      <c r="I446" s="1">
        <v>1</v>
      </c>
      <c r="J446" s="1">
        <v>1</v>
      </c>
      <c r="K446" s="1">
        <v>1</v>
      </c>
      <c r="M446" s="1">
        <v>678</v>
      </c>
      <c r="N446" s="1">
        <v>627.76</v>
      </c>
      <c r="O446" s="1">
        <v>1511.09</v>
      </c>
      <c r="P446" s="1">
        <v>883.33333333333303</v>
      </c>
      <c r="Q446" s="1" t="s">
        <v>42</v>
      </c>
      <c r="S446" s="1" t="s">
        <v>42</v>
      </c>
      <c r="T446" s="1" t="s">
        <v>203</v>
      </c>
      <c r="U446" s="1">
        <v>44</v>
      </c>
      <c r="V446" s="5">
        <v>44253</v>
      </c>
      <c r="W446" s="5">
        <v>44104</v>
      </c>
      <c r="X446" s="1">
        <v>889000</v>
      </c>
      <c r="Y446" s="1">
        <v>889000</v>
      </c>
      <c r="Z446" s="5">
        <v>44149</v>
      </c>
      <c r="AA446" s="1">
        <v>869000</v>
      </c>
      <c r="AB446" s="1" t="s">
        <v>273</v>
      </c>
      <c r="AC446" s="5">
        <v>44249</v>
      </c>
      <c r="AF446" s="1">
        <v>10019</v>
      </c>
      <c r="AI446" s="1" t="s">
        <v>76</v>
      </c>
      <c r="AJ446" s="1">
        <v>2017</v>
      </c>
      <c r="AK446" s="1" t="s">
        <v>50</v>
      </c>
      <c r="AL446" s="1">
        <v>248</v>
      </c>
    </row>
    <row r="447" spans="1:38" x14ac:dyDescent="0.2">
      <c r="A447" s="2" t="str">
        <f>HYPERLINK("https://www.compass.com/listing/591-third-avenue-unit-18c-manhattan-ny-10016/337582015654287873/","591 3rd Ave, Unit 18C")</f>
        <v>591 3rd Ave, Unit 18C</v>
      </c>
      <c r="B447" s="2" t="str">
        <f t="shared" ref="B447:B448" si="70">HYPERLINK("https://www.compass.com/building/the-lindley-manhattan-ny/282058799928343829/","The Lindley")</f>
        <v>The Lindley</v>
      </c>
      <c r="C447" s="1" t="s">
        <v>165</v>
      </c>
      <c r="D447" s="1" t="s">
        <v>41</v>
      </c>
      <c r="E447" s="3">
        <v>1560000</v>
      </c>
      <c r="F447" s="1">
        <v>1770.7150964812699</v>
      </c>
      <c r="G447" s="1">
        <v>3</v>
      </c>
      <c r="H447" s="1">
        <v>1</v>
      </c>
      <c r="I447" s="1">
        <v>2</v>
      </c>
      <c r="J447" s="1">
        <v>1.5</v>
      </c>
      <c r="K447" s="1">
        <v>1</v>
      </c>
      <c r="L447" s="1">
        <v>1</v>
      </c>
      <c r="M447" s="1">
        <v>881</v>
      </c>
      <c r="N447" s="1">
        <v>1291</v>
      </c>
      <c r="O447" s="1">
        <v>1776</v>
      </c>
      <c r="P447" s="1">
        <v>485</v>
      </c>
      <c r="Q447" s="1" t="s">
        <v>42</v>
      </c>
      <c r="S447" s="1" t="s">
        <v>42</v>
      </c>
      <c r="T447" s="1" t="s">
        <v>203</v>
      </c>
      <c r="U447" s="1">
        <v>66</v>
      </c>
      <c r="V447" s="5">
        <v>43847</v>
      </c>
      <c r="W447" s="5">
        <v>43718</v>
      </c>
      <c r="X447" s="1">
        <v>1675000</v>
      </c>
      <c r="Y447" s="1">
        <v>1675000</v>
      </c>
      <c r="Z447" s="5">
        <v>43784</v>
      </c>
      <c r="AA447" s="1">
        <v>1560000</v>
      </c>
      <c r="AB447" s="1" t="s">
        <v>274</v>
      </c>
      <c r="AC447" s="5">
        <v>43845</v>
      </c>
      <c r="AF447" s="1">
        <v>10016</v>
      </c>
      <c r="AI447" s="1" t="s">
        <v>54</v>
      </c>
      <c r="AJ447" s="1">
        <v>2018</v>
      </c>
      <c r="AK447" s="1" t="s">
        <v>81</v>
      </c>
      <c r="AL447" s="1">
        <v>74</v>
      </c>
    </row>
    <row r="448" spans="1:38" x14ac:dyDescent="0.2">
      <c r="A448" s="2" t="str">
        <f>HYPERLINK("https://www.compass.com/listing/591-3rd-avenue-unit-19c-manhattan-ny-10016/389780764849277073/","591 3rd Ave, Unit 19C")</f>
        <v>591 3rd Ave, Unit 19C</v>
      </c>
      <c r="B448" s="2" t="str">
        <f t="shared" si="70"/>
        <v>The Lindley</v>
      </c>
      <c r="C448" s="1" t="s">
        <v>165</v>
      </c>
      <c r="D448" s="1" t="s">
        <v>41</v>
      </c>
      <c r="E448" s="3">
        <v>1415000</v>
      </c>
      <c r="F448" s="1">
        <v>1606.12939841089</v>
      </c>
      <c r="G448" s="1">
        <v>4</v>
      </c>
      <c r="H448" s="1">
        <v>1</v>
      </c>
      <c r="I448" s="1">
        <v>2</v>
      </c>
      <c r="J448" s="1">
        <v>1.5</v>
      </c>
      <c r="K448" s="1">
        <v>1</v>
      </c>
      <c r="L448" s="1">
        <v>1</v>
      </c>
      <c r="M448" s="1">
        <v>881</v>
      </c>
      <c r="N448" s="1">
        <v>1297</v>
      </c>
      <c r="O448" s="1">
        <v>1784</v>
      </c>
      <c r="P448" s="1">
        <v>487</v>
      </c>
      <c r="Q448" s="1" t="s">
        <v>42</v>
      </c>
      <c r="S448" s="1" t="s">
        <v>42</v>
      </c>
      <c r="T448" s="1" t="s">
        <v>203</v>
      </c>
      <c r="U448" s="1">
        <v>145</v>
      </c>
      <c r="V448" s="5">
        <v>44091</v>
      </c>
      <c r="W448" s="5">
        <v>43790</v>
      </c>
      <c r="X448" s="1">
        <v>1700000</v>
      </c>
      <c r="Y448" s="1">
        <v>1700000</v>
      </c>
      <c r="Z448" s="5">
        <v>44029</v>
      </c>
      <c r="AA448" s="1">
        <v>1415000</v>
      </c>
      <c r="AB448" s="1" t="s">
        <v>275</v>
      </c>
      <c r="AC448" s="5">
        <v>44088</v>
      </c>
      <c r="AF448" s="1">
        <v>10016</v>
      </c>
      <c r="AI448" s="1" t="s">
        <v>166</v>
      </c>
      <c r="AJ448" s="1">
        <v>2018</v>
      </c>
      <c r="AK448" s="1" t="s">
        <v>55</v>
      </c>
      <c r="AL448" s="1">
        <v>74</v>
      </c>
    </row>
    <row r="449" spans="1:38" x14ac:dyDescent="0.2">
      <c r="A449" s="2" t="str">
        <f>HYPERLINK("https://www.compass.com/listing/301-west-53rd-street-unit-17b-manhattan-ny-10019/582029772719481505/","301 W 53rd St, Unit 17B")</f>
        <v>301 W 53rd St, Unit 17B</v>
      </c>
      <c r="B449" s="2" t="str">
        <f>HYPERLINK("https://www.compass.com/building/fifty-third-and-eighth-manhattan-ny/281944545158031557/","Fifty Third and Eighth")</f>
        <v>Fifty Third and Eighth</v>
      </c>
      <c r="C449" s="1" t="s">
        <v>57</v>
      </c>
      <c r="D449" s="1" t="s">
        <v>41</v>
      </c>
      <c r="E449" s="3">
        <v>1365000</v>
      </c>
      <c r="F449" s="1">
        <v>1775.0325097529201</v>
      </c>
      <c r="G449" s="1">
        <v>4</v>
      </c>
      <c r="H449" s="1">
        <v>2</v>
      </c>
      <c r="I449" s="1">
        <v>1</v>
      </c>
      <c r="J449" s="1">
        <v>1</v>
      </c>
      <c r="K449" s="1">
        <v>1</v>
      </c>
      <c r="M449" s="1">
        <v>769</v>
      </c>
      <c r="N449" s="1">
        <v>748</v>
      </c>
      <c r="O449" s="1">
        <v>2079</v>
      </c>
      <c r="P449" s="1">
        <v>1331</v>
      </c>
      <c r="Q449" s="1" t="s">
        <v>42</v>
      </c>
      <c r="S449" s="1" t="s">
        <v>42</v>
      </c>
      <c r="T449" s="1" t="s">
        <v>203</v>
      </c>
      <c r="U449" s="1">
        <v>127</v>
      </c>
      <c r="V449" s="5">
        <v>44285</v>
      </c>
      <c r="W449" s="5">
        <v>44078</v>
      </c>
      <c r="X449" s="1">
        <v>1425000</v>
      </c>
      <c r="Y449" s="1">
        <v>1399000</v>
      </c>
      <c r="Z449" s="5">
        <v>44226</v>
      </c>
      <c r="AA449" s="1">
        <v>1365000</v>
      </c>
      <c r="AB449" s="1" t="s">
        <v>276</v>
      </c>
      <c r="AC449" s="5">
        <v>44280</v>
      </c>
      <c r="AF449" s="1">
        <v>10019</v>
      </c>
      <c r="AI449" s="1" t="s">
        <v>154</v>
      </c>
      <c r="AJ449" s="1">
        <v>2017</v>
      </c>
      <c r="AK449" s="1" t="s">
        <v>50</v>
      </c>
      <c r="AL449" s="1">
        <v>248</v>
      </c>
    </row>
    <row r="450" spans="1:38" x14ac:dyDescent="0.2">
      <c r="A450" s="2" t="str">
        <f>HYPERLINK("https://www.compass.com/listing/591-3rd-avenue-unit-14b-manhattan-ny-10016/750009333087554753/","591 3rd Ave, Unit 14B")</f>
        <v>591 3rd Ave, Unit 14B</v>
      </c>
      <c r="B450" s="2" t="str">
        <f t="shared" ref="B450:B455" si="71">HYPERLINK("https://www.compass.com/building/the-lindley-manhattan-ny/282058799928343829/","The Lindley")</f>
        <v>The Lindley</v>
      </c>
      <c r="C450" s="1" t="s">
        <v>165</v>
      </c>
      <c r="D450" s="1" t="s">
        <v>41</v>
      </c>
      <c r="E450" s="3">
        <v>2023429</v>
      </c>
      <c r="F450" s="1">
        <v>1580.8037109375</v>
      </c>
      <c r="G450" s="1">
        <v>6</v>
      </c>
      <c r="H450" s="1">
        <v>2</v>
      </c>
      <c r="I450" s="1">
        <v>2</v>
      </c>
      <c r="J450" s="1">
        <v>2</v>
      </c>
      <c r="K450" s="1">
        <v>2</v>
      </c>
      <c r="M450" s="4">
        <v>1280</v>
      </c>
      <c r="N450" s="1">
        <v>1972</v>
      </c>
      <c r="O450" s="1">
        <v>2843</v>
      </c>
      <c r="P450" s="1">
        <v>871</v>
      </c>
      <c r="Q450" s="1" t="s">
        <v>42</v>
      </c>
      <c r="S450" s="1" t="s">
        <v>42</v>
      </c>
      <c r="T450" s="1" t="s">
        <v>203</v>
      </c>
      <c r="U450" s="1">
        <v>13</v>
      </c>
      <c r="V450" s="5">
        <v>44372</v>
      </c>
      <c r="W450" s="5">
        <v>44293</v>
      </c>
      <c r="X450" s="1">
        <v>2125000</v>
      </c>
      <c r="Y450" s="1">
        <v>2125000</v>
      </c>
      <c r="Z450" s="5">
        <v>44307</v>
      </c>
      <c r="AA450" s="1">
        <v>2023428.75</v>
      </c>
      <c r="AB450" s="1" t="s">
        <v>277</v>
      </c>
      <c r="AC450" s="5">
        <v>44365</v>
      </c>
      <c r="AF450" s="1">
        <v>10016</v>
      </c>
      <c r="AI450" s="1" t="s">
        <v>166</v>
      </c>
      <c r="AJ450" s="1">
        <v>2018</v>
      </c>
      <c r="AK450" s="1" t="s">
        <v>55</v>
      </c>
      <c r="AL450" s="1">
        <v>74</v>
      </c>
    </row>
    <row r="451" spans="1:38" x14ac:dyDescent="0.2">
      <c r="A451" s="2" t="str">
        <f>HYPERLINK("https://www.compass.com/listing/591-3rd-avenue-unit-16b-manhattan-ny-10016/430295796111000081/","591 3rd Ave, Unit 16B")</f>
        <v>591 3rd Ave, Unit 16B</v>
      </c>
      <c r="B451" s="2" t="str">
        <f t="shared" si="71"/>
        <v>The Lindley</v>
      </c>
      <c r="C451" s="1" t="s">
        <v>165</v>
      </c>
      <c r="D451" s="1" t="s">
        <v>41</v>
      </c>
      <c r="E451" s="3">
        <v>2100000</v>
      </c>
      <c r="F451" s="1">
        <v>1824.50043440486</v>
      </c>
      <c r="G451" s="1">
        <v>4</v>
      </c>
      <c r="H451" s="1">
        <v>2</v>
      </c>
      <c r="I451" s="1">
        <v>2</v>
      </c>
      <c r="J451" s="1">
        <v>2</v>
      </c>
      <c r="K451" s="1">
        <v>2</v>
      </c>
      <c r="M451" s="4">
        <v>1151</v>
      </c>
      <c r="N451" s="1">
        <v>1671</v>
      </c>
      <c r="O451" s="1">
        <v>2303</v>
      </c>
      <c r="P451" s="1">
        <v>632</v>
      </c>
      <c r="Q451" s="1" t="s">
        <v>42</v>
      </c>
      <c r="S451" s="1" t="s">
        <v>42</v>
      </c>
      <c r="T451" s="1" t="s">
        <v>203</v>
      </c>
      <c r="V451" s="5">
        <v>43846</v>
      </c>
      <c r="Y451" s="1">
        <v>2150000</v>
      </c>
      <c r="Z451" s="5">
        <v>43846</v>
      </c>
      <c r="AA451" s="1">
        <v>2100000</v>
      </c>
      <c r="AB451" s="1" t="s">
        <v>278</v>
      </c>
      <c r="AC451" s="5">
        <v>43886</v>
      </c>
      <c r="AF451" s="1">
        <v>10016</v>
      </c>
      <c r="AI451" s="1" t="s">
        <v>166</v>
      </c>
      <c r="AJ451" s="1">
        <v>2018</v>
      </c>
      <c r="AK451" s="1" t="s">
        <v>55</v>
      </c>
      <c r="AL451" s="1">
        <v>74</v>
      </c>
    </row>
    <row r="452" spans="1:38" x14ac:dyDescent="0.2">
      <c r="A452" s="2" t="str">
        <f>HYPERLINK("https://www.compass.com/listing/591-3rd-avenue-unit-15b-manhattan-ny-10016/718867561524933281/","591 3rd Ave, Unit 15B")</f>
        <v>591 3rd Ave, Unit 15B</v>
      </c>
      <c r="B452" s="2" t="str">
        <f t="shared" si="71"/>
        <v>The Lindley</v>
      </c>
      <c r="C452" s="1" t="s">
        <v>165</v>
      </c>
      <c r="D452" s="1" t="s">
        <v>41</v>
      </c>
      <c r="E452" s="3">
        <v>1950000</v>
      </c>
      <c r="F452" s="1">
        <v>1523.4375</v>
      </c>
      <c r="G452" s="1">
        <v>6</v>
      </c>
      <c r="H452" s="1">
        <v>2</v>
      </c>
      <c r="I452" s="1">
        <v>2</v>
      </c>
      <c r="J452" s="1">
        <v>2</v>
      </c>
      <c r="K452" s="1">
        <v>2</v>
      </c>
      <c r="M452" s="4">
        <v>1280</v>
      </c>
      <c r="N452" s="1">
        <v>1982</v>
      </c>
      <c r="O452" s="1">
        <v>2852</v>
      </c>
      <c r="P452" s="1">
        <v>870</v>
      </c>
      <c r="Q452" s="1" t="s">
        <v>42</v>
      </c>
      <c r="S452" s="1" t="s">
        <v>42</v>
      </c>
      <c r="T452" s="1" t="s">
        <v>203</v>
      </c>
      <c r="U452" s="1">
        <v>34</v>
      </c>
      <c r="V452" s="5">
        <v>44343</v>
      </c>
      <c r="W452" s="5">
        <v>44244</v>
      </c>
      <c r="X452" s="1">
        <v>2200000</v>
      </c>
      <c r="Y452" s="1">
        <v>2200000</v>
      </c>
      <c r="Z452" s="5">
        <v>44279</v>
      </c>
      <c r="AA452" s="1">
        <v>1950000</v>
      </c>
      <c r="AB452" s="1" t="s">
        <v>279</v>
      </c>
      <c r="AC452" s="5">
        <v>44337</v>
      </c>
      <c r="AF452" s="1">
        <v>10016</v>
      </c>
      <c r="AI452" s="1" t="s">
        <v>166</v>
      </c>
      <c r="AJ452" s="1">
        <v>2018</v>
      </c>
      <c r="AK452" s="1" t="s">
        <v>55</v>
      </c>
      <c r="AL452" s="1">
        <v>74</v>
      </c>
    </row>
    <row r="453" spans="1:38" x14ac:dyDescent="0.2">
      <c r="A453" s="2" t="str">
        <f>HYPERLINK("https://www.compass.com/listing/591-third-avenue-unit-2a-manhattan-ny-10016/337601061300755601/","591 3rd Ave, Unit 2A")</f>
        <v>591 3rd Ave, Unit 2A</v>
      </c>
      <c r="B453" s="2" t="str">
        <f t="shared" si="71"/>
        <v>The Lindley</v>
      </c>
      <c r="C453" s="1" t="s">
        <v>165</v>
      </c>
      <c r="D453" s="1" t="s">
        <v>41</v>
      </c>
      <c r="E453" s="3">
        <v>1936675</v>
      </c>
      <c r="F453" s="1">
        <v>1676.77489177489</v>
      </c>
      <c r="G453" s="1">
        <v>5</v>
      </c>
      <c r="H453" s="1">
        <v>2</v>
      </c>
      <c r="I453" s="1">
        <v>2</v>
      </c>
      <c r="J453" s="1">
        <v>2</v>
      </c>
      <c r="K453" s="1">
        <v>2</v>
      </c>
      <c r="M453" s="4">
        <v>1155</v>
      </c>
      <c r="N453" s="1">
        <v>1835</v>
      </c>
      <c r="O453" s="1">
        <v>2525</v>
      </c>
      <c r="P453" s="1">
        <v>690</v>
      </c>
      <c r="Q453" s="1" t="s">
        <v>42</v>
      </c>
      <c r="S453" s="1" t="s">
        <v>42</v>
      </c>
      <c r="T453" s="1" t="s">
        <v>203</v>
      </c>
      <c r="U453" s="1">
        <v>101</v>
      </c>
      <c r="V453" s="5">
        <v>43846</v>
      </c>
      <c r="W453" s="5">
        <v>43718</v>
      </c>
      <c r="X453" s="1">
        <v>2150000</v>
      </c>
      <c r="Y453" s="1">
        <v>2150000</v>
      </c>
      <c r="Z453" s="5">
        <v>43819</v>
      </c>
      <c r="AA453" s="1">
        <v>1936675</v>
      </c>
      <c r="AB453" s="1" t="s">
        <v>280</v>
      </c>
      <c r="AC453" s="5">
        <v>43840</v>
      </c>
      <c r="AF453" s="1">
        <v>10016</v>
      </c>
      <c r="AI453" s="1" t="s">
        <v>281</v>
      </c>
      <c r="AJ453" s="1">
        <v>2018</v>
      </c>
      <c r="AK453" s="1" t="s">
        <v>81</v>
      </c>
      <c r="AL453" s="1">
        <v>74</v>
      </c>
    </row>
    <row r="454" spans="1:38" x14ac:dyDescent="0.2">
      <c r="A454" s="2" t="str">
        <f>HYPERLINK("https://www.compass.com/listing/591-third-avenue-unit-ph-b-manhattan-ny-10016/337690125819343825/","591 3rd Ave, Unit PHB")</f>
        <v>591 3rd Ave, Unit PHB</v>
      </c>
      <c r="B454" s="2" t="str">
        <f t="shared" si="71"/>
        <v>The Lindley</v>
      </c>
      <c r="C454" s="1" t="s">
        <v>165</v>
      </c>
      <c r="D454" s="1" t="s">
        <v>41</v>
      </c>
      <c r="E454" s="3">
        <v>2500000</v>
      </c>
      <c r="F454" s="1">
        <v>1976.28458498023</v>
      </c>
      <c r="G454" s="1">
        <v>4</v>
      </c>
      <c r="H454" s="1">
        <v>2</v>
      </c>
      <c r="I454" s="1">
        <v>2</v>
      </c>
      <c r="J454" s="1">
        <v>2</v>
      </c>
      <c r="K454" s="1">
        <v>2</v>
      </c>
      <c r="M454" s="4">
        <v>1265</v>
      </c>
      <c r="N454" s="1">
        <v>2118</v>
      </c>
      <c r="O454" s="1">
        <v>2914</v>
      </c>
      <c r="P454" s="1">
        <v>796</v>
      </c>
      <c r="S454" s="1" t="s">
        <v>42</v>
      </c>
      <c r="T454" s="1" t="s">
        <v>203</v>
      </c>
      <c r="U454" s="1">
        <v>192</v>
      </c>
      <c r="V454" s="5">
        <v>44064</v>
      </c>
      <c r="W454" s="5">
        <v>43718</v>
      </c>
      <c r="X454" s="1">
        <v>2750000</v>
      </c>
      <c r="Y454" s="1">
        <v>1995000</v>
      </c>
      <c r="Z454" s="5">
        <v>43925</v>
      </c>
      <c r="AA454" s="1">
        <v>2500000</v>
      </c>
      <c r="AB454" s="1" t="s">
        <v>204</v>
      </c>
      <c r="AC454" s="5">
        <v>44064</v>
      </c>
      <c r="AF454" s="1">
        <v>10016</v>
      </c>
      <c r="AI454" s="1" t="s">
        <v>282</v>
      </c>
      <c r="AJ454" s="1">
        <v>2018</v>
      </c>
      <c r="AK454" s="1" t="s">
        <v>81</v>
      </c>
      <c r="AL454" s="1">
        <v>74</v>
      </c>
    </row>
    <row r="455" spans="1:38" x14ac:dyDescent="0.2">
      <c r="A455" s="2" t="str">
        <f>HYPERLINK("https://www.compass.com/listing/591-3rd-avenue-unit-2b-manhattan-ny-10016/546304218225793577/","591 3rd Ave, Unit 2B")</f>
        <v>591 3rd Ave, Unit 2B</v>
      </c>
      <c r="B455" s="2" t="str">
        <f t="shared" si="71"/>
        <v>The Lindley</v>
      </c>
      <c r="C455" s="1" t="s">
        <v>165</v>
      </c>
      <c r="D455" s="1" t="s">
        <v>41</v>
      </c>
      <c r="E455" s="3">
        <v>1470000</v>
      </c>
      <c r="F455" s="1">
        <v>1693.5483870967701</v>
      </c>
      <c r="G455" s="1">
        <v>4</v>
      </c>
      <c r="H455" s="1">
        <v>1</v>
      </c>
      <c r="I455" s="1">
        <v>2</v>
      </c>
      <c r="J455" s="1">
        <v>2</v>
      </c>
      <c r="K455" s="1">
        <v>2</v>
      </c>
      <c r="M455" s="1">
        <v>868</v>
      </c>
      <c r="N455" s="1">
        <v>1339</v>
      </c>
      <c r="O455" s="1">
        <v>1714</v>
      </c>
      <c r="P455" s="1">
        <v>375</v>
      </c>
      <c r="Q455" s="1" t="s">
        <v>42</v>
      </c>
      <c r="S455" s="1" t="s">
        <v>42</v>
      </c>
      <c r="T455" s="1" t="s">
        <v>203</v>
      </c>
      <c r="U455" s="1">
        <v>51</v>
      </c>
      <c r="V455" s="5">
        <v>44149</v>
      </c>
      <c r="W455" s="5">
        <v>44006</v>
      </c>
      <c r="X455" s="1">
        <v>1595000</v>
      </c>
      <c r="Y455" s="1">
        <v>1595000</v>
      </c>
      <c r="Z455" s="5">
        <v>44057</v>
      </c>
      <c r="AA455" s="1">
        <v>1470000</v>
      </c>
      <c r="AB455" s="1" t="s">
        <v>283</v>
      </c>
      <c r="AC455" s="5">
        <v>44125</v>
      </c>
      <c r="AF455" s="1">
        <v>10016</v>
      </c>
      <c r="AI455" s="1" t="s">
        <v>284</v>
      </c>
      <c r="AJ455" s="1">
        <v>2018</v>
      </c>
      <c r="AK455" s="1" t="s">
        <v>55</v>
      </c>
      <c r="AL455" s="1">
        <v>74</v>
      </c>
    </row>
    <row r="456" spans="1:38" x14ac:dyDescent="0.2">
      <c r="A456" s="2" t="str">
        <f>HYPERLINK("https://www.compass.com/listing/301-west-53rd-street-unit-16e-manhattan-ny-10019/29507302671292337/","301 W 53rd St, Unit 16E")</f>
        <v>301 W 53rd St, Unit 16E</v>
      </c>
      <c r="B456" s="2" t="str">
        <f>HYPERLINK("https://www.compass.com/building/fifty-third-and-eighth-manhattan-ny/281944545158031557/","Fifty Third and Eighth")</f>
        <v>Fifty Third and Eighth</v>
      </c>
      <c r="C456" s="1" t="s">
        <v>57</v>
      </c>
      <c r="D456" s="1" t="s">
        <v>41</v>
      </c>
      <c r="E456" s="3">
        <v>1960000</v>
      </c>
      <c r="F456" s="1">
        <v>1886.42925890279</v>
      </c>
      <c r="G456" s="1">
        <v>5</v>
      </c>
      <c r="H456" s="1">
        <v>3</v>
      </c>
      <c r="I456" s="1">
        <v>2</v>
      </c>
      <c r="J456" s="1">
        <v>2</v>
      </c>
      <c r="K456" s="1">
        <v>2</v>
      </c>
      <c r="M456" s="4">
        <v>1039</v>
      </c>
      <c r="N456" s="1">
        <v>976.07</v>
      </c>
      <c r="O456" s="1">
        <v>2423.4899999999998</v>
      </c>
      <c r="P456" s="1">
        <v>1447.4166666666599</v>
      </c>
      <c r="Q456" s="1" t="s">
        <v>42</v>
      </c>
      <c r="S456" s="1" t="s">
        <v>42</v>
      </c>
      <c r="T456" s="1" t="s">
        <v>203</v>
      </c>
      <c r="U456" s="1">
        <v>426</v>
      </c>
      <c r="V456" s="5">
        <v>43696</v>
      </c>
      <c r="W456" s="5">
        <v>43162</v>
      </c>
      <c r="X456" s="1">
        <v>2180000</v>
      </c>
      <c r="Y456" s="1">
        <v>2100000</v>
      </c>
      <c r="Z456" s="5">
        <v>43644</v>
      </c>
      <c r="AA456" s="1">
        <v>1960000</v>
      </c>
      <c r="AB456" s="1" t="s">
        <v>285</v>
      </c>
      <c r="AC456" s="5">
        <v>43692</v>
      </c>
      <c r="AF456" s="1">
        <v>10019</v>
      </c>
      <c r="AI456" s="1" t="s">
        <v>76</v>
      </c>
      <c r="AJ456" s="1">
        <v>2017</v>
      </c>
      <c r="AK456" s="1" t="s">
        <v>50</v>
      </c>
      <c r="AL456" s="1">
        <v>248</v>
      </c>
    </row>
    <row r="457" spans="1:38" x14ac:dyDescent="0.2">
      <c r="A457" s="2" t="str">
        <f>HYPERLINK("https://www.compass.com/listing/245-east-53rd-street-unit-5-manhattan-ny-10022/431946769813932945/","245 E 53rd St, Unit 5")</f>
        <v>245 E 53rd St, Unit 5</v>
      </c>
      <c r="B457" s="2" t="str">
        <f t="shared" ref="B457:B458" si="72">HYPERLINK("https://www.compass.com/building/loft53-manhattan-ny/281953429650215077/","Loft53")</f>
        <v>Loft53</v>
      </c>
      <c r="C457" s="1" t="s">
        <v>171</v>
      </c>
      <c r="D457" s="1" t="s">
        <v>41</v>
      </c>
      <c r="E457" s="3">
        <v>1850000</v>
      </c>
      <c r="F457" s="1">
        <v>1335.74007220216</v>
      </c>
      <c r="G457" s="1">
        <v>4</v>
      </c>
      <c r="H457" s="1">
        <v>2</v>
      </c>
      <c r="I457" s="1">
        <v>2</v>
      </c>
      <c r="J457" s="1">
        <v>2</v>
      </c>
      <c r="K457" s="1">
        <v>2</v>
      </c>
      <c r="M457" s="4">
        <v>1385</v>
      </c>
      <c r="N457" s="1">
        <v>511.25</v>
      </c>
      <c r="O457" s="1">
        <v>2488.87</v>
      </c>
      <c r="P457" s="1">
        <v>1977.5833333333301</v>
      </c>
      <c r="Q457" s="1" t="s">
        <v>42</v>
      </c>
      <c r="S457" s="1" t="s">
        <v>42</v>
      </c>
      <c r="T457" s="1" t="s">
        <v>203</v>
      </c>
      <c r="U457" s="1">
        <v>16</v>
      </c>
      <c r="V457" s="5">
        <v>43875</v>
      </c>
      <c r="W457" s="5">
        <v>43859</v>
      </c>
      <c r="X457" s="1">
        <v>1895000</v>
      </c>
      <c r="Y457" s="1">
        <v>1895000</v>
      </c>
      <c r="AA457" s="1">
        <v>1850000</v>
      </c>
      <c r="AB457" s="1" t="s">
        <v>286</v>
      </c>
      <c r="AC457" s="5">
        <v>43977</v>
      </c>
      <c r="AF457" s="1">
        <v>10022</v>
      </c>
      <c r="AI457" s="1" t="s">
        <v>287</v>
      </c>
      <c r="AJ457" s="1">
        <v>2019</v>
      </c>
      <c r="AL457" s="1">
        <v>6</v>
      </c>
    </row>
    <row r="458" spans="1:38" x14ac:dyDescent="0.2">
      <c r="A458" s="2" t="str">
        <f>HYPERLINK("https://www.compass.com/listing/245-east-53rd-street-unit-ph-manhattan-ny-10022/431949306789039001/","245 E 53rd St, Unit PH")</f>
        <v>245 E 53rd St, Unit PH</v>
      </c>
      <c r="B458" s="2" t="str">
        <f t="shared" si="72"/>
        <v>Loft53</v>
      </c>
      <c r="C458" s="1" t="s">
        <v>171</v>
      </c>
      <c r="D458" s="1" t="s">
        <v>41</v>
      </c>
      <c r="E458" s="3">
        <v>2400000</v>
      </c>
      <c r="F458" s="1">
        <v>1732.85198555956</v>
      </c>
      <c r="G458" s="1">
        <v>4</v>
      </c>
      <c r="H458" s="1">
        <v>2</v>
      </c>
      <c r="I458" s="1">
        <v>2</v>
      </c>
      <c r="J458" s="1">
        <v>2</v>
      </c>
      <c r="K458" s="1">
        <v>2</v>
      </c>
      <c r="M458" s="4">
        <v>1385</v>
      </c>
      <c r="N458" s="1">
        <v>528.53</v>
      </c>
      <c r="O458" s="1">
        <v>2572.9699999999998</v>
      </c>
      <c r="P458" s="1">
        <v>2044.4166666666599</v>
      </c>
      <c r="S458" s="1" t="s">
        <v>42</v>
      </c>
      <c r="T458" s="1" t="s">
        <v>203</v>
      </c>
      <c r="U458" s="1">
        <v>51</v>
      </c>
      <c r="V458" s="5">
        <v>44119</v>
      </c>
      <c r="W458" s="5">
        <v>43859</v>
      </c>
      <c r="X458" s="1">
        <v>2400000</v>
      </c>
      <c r="Y458" s="1">
        <v>2400000</v>
      </c>
      <c r="Z458" s="5">
        <v>43971</v>
      </c>
      <c r="AA458" s="1">
        <v>2400000</v>
      </c>
      <c r="AB458" s="1" t="s">
        <v>204</v>
      </c>
      <c r="AC458" s="5">
        <v>44119</v>
      </c>
      <c r="AF458" s="1">
        <v>10022</v>
      </c>
      <c r="AI458" s="1" t="s">
        <v>287</v>
      </c>
      <c r="AJ458" s="1">
        <v>2019</v>
      </c>
      <c r="AK458" s="1" t="s">
        <v>91</v>
      </c>
      <c r="AL458" s="1">
        <v>6</v>
      </c>
    </row>
    <row r="459" spans="1:38" x14ac:dyDescent="0.2">
      <c r="A459" s="2" t="str">
        <f>HYPERLINK("https://www.compass.com/listing/1810-3rd-avenue-unit-b7c-manhattan-ny-10029/594065779195315321/","1810 3rd Ave, Unit B7C")</f>
        <v>1810 3rd Ave, Unit B7C</v>
      </c>
      <c r="B459" s="2" t="str">
        <f t="shared" ref="B459:B460" si="73">HYPERLINK("https://www.compass.com/building/the-art-house-condominiums-manhattan-ny/281989881993998229/","The Art House Condominiums")</f>
        <v>The Art House Condominiums</v>
      </c>
      <c r="C459" s="1" t="s">
        <v>82</v>
      </c>
      <c r="D459" s="1" t="s">
        <v>41</v>
      </c>
      <c r="E459" s="3">
        <v>550000</v>
      </c>
      <c r="F459" s="1">
        <v>927.48735244519298</v>
      </c>
      <c r="G459" s="1">
        <v>3</v>
      </c>
      <c r="H459" s="1">
        <v>2</v>
      </c>
      <c r="I459" s="1">
        <v>1</v>
      </c>
      <c r="J459" s="1">
        <v>1</v>
      </c>
      <c r="K459" s="1">
        <v>1</v>
      </c>
      <c r="M459" s="1">
        <v>593</v>
      </c>
      <c r="N459" s="1">
        <v>579.41999999999996</v>
      </c>
      <c r="O459" s="1">
        <v>1106.17</v>
      </c>
      <c r="P459" s="1">
        <v>526.75</v>
      </c>
      <c r="S459" s="1" t="s">
        <v>42</v>
      </c>
      <c r="T459" s="1" t="s">
        <v>203</v>
      </c>
      <c r="U459" s="1">
        <v>192</v>
      </c>
      <c r="V459" s="5">
        <v>44312</v>
      </c>
      <c r="W459" s="5">
        <v>44071</v>
      </c>
      <c r="X459" s="1">
        <v>649000</v>
      </c>
      <c r="Y459" s="1">
        <v>575000</v>
      </c>
      <c r="Z459" s="5">
        <v>44264</v>
      </c>
      <c r="AA459" s="1">
        <v>550000</v>
      </c>
      <c r="AB459" s="1" t="s">
        <v>215</v>
      </c>
      <c r="AC459" s="5">
        <v>44302</v>
      </c>
      <c r="AF459" s="1">
        <v>10029</v>
      </c>
      <c r="AI459" s="1" t="s">
        <v>288</v>
      </c>
      <c r="AJ459" s="1">
        <v>2008</v>
      </c>
      <c r="AK459" s="1" t="s">
        <v>55</v>
      </c>
      <c r="AL459" s="1">
        <v>76</v>
      </c>
    </row>
    <row r="460" spans="1:38" x14ac:dyDescent="0.2">
      <c r="A460" s="2" t="str">
        <f>HYPERLINK("https://www.compass.com/listing/1810-3rd-avenue-unit-b9a-manhattan-ny-10029/613719518434616825/","1810 3rd Ave, Unit B9A")</f>
        <v>1810 3rd Ave, Unit B9A</v>
      </c>
      <c r="B460" s="2" t="str">
        <f t="shared" si="73"/>
        <v>The Art House Condominiums</v>
      </c>
      <c r="C460" s="1" t="s">
        <v>82</v>
      </c>
      <c r="D460" s="1" t="s">
        <v>41</v>
      </c>
      <c r="E460" s="3">
        <v>775000</v>
      </c>
      <c r="F460" s="1">
        <v>998.71134020618501</v>
      </c>
      <c r="G460" s="1">
        <v>6</v>
      </c>
      <c r="H460" s="1">
        <v>3</v>
      </c>
      <c r="I460" s="1">
        <v>1</v>
      </c>
      <c r="J460" s="1">
        <v>1</v>
      </c>
      <c r="K460" s="1">
        <v>1</v>
      </c>
      <c r="M460" s="1">
        <v>776</v>
      </c>
      <c r="N460" s="1">
        <v>784.61</v>
      </c>
      <c r="O460" s="1">
        <v>1497.9099999999901</v>
      </c>
      <c r="P460" s="1">
        <v>713.33333333333303</v>
      </c>
      <c r="S460" s="1" t="s">
        <v>42</v>
      </c>
      <c r="T460" s="1" t="s">
        <v>203</v>
      </c>
      <c r="U460" s="1">
        <v>119</v>
      </c>
      <c r="V460" s="5">
        <v>44296</v>
      </c>
      <c r="W460" s="5">
        <v>44103</v>
      </c>
      <c r="X460" s="1">
        <v>775000</v>
      </c>
      <c r="Y460" s="1">
        <v>775000</v>
      </c>
      <c r="Z460" s="5">
        <v>44222</v>
      </c>
      <c r="AA460" s="1">
        <v>775000</v>
      </c>
      <c r="AB460" s="1" t="s">
        <v>204</v>
      </c>
      <c r="AC460" s="5">
        <v>44296</v>
      </c>
      <c r="AF460" s="1">
        <v>10029</v>
      </c>
      <c r="AI460" s="1" t="s">
        <v>289</v>
      </c>
      <c r="AJ460" s="1">
        <v>2008</v>
      </c>
      <c r="AK460" s="1" t="s">
        <v>55</v>
      </c>
      <c r="AL460" s="1">
        <v>76</v>
      </c>
    </row>
    <row r="461" spans="1:38" x14ac:dyDescent="0.2">
      <c r="A461" s="2" t="str">
        <f>HYPERLINK("https://www.compass.com/listing/1399-park-avenue-unit-9b-manhattan-ny-10029/290500056593762353/","1399 Park Ave, Unit 9B")</f>
        <v>1399 Park Ave, Unit 9B</v>
      </c>
      <c r="B461" s="2" t="str">
        <f>HYPERLINK("https://www.compass.com/building/1399-park-manhattan-ny/281988559521557189/","1399 Park")</f>
        <v>1399 Park</v>
      </c>
      <c r="C461" s="1" t="s">
        <v>82</v>
      </c>
      <c r="D461" s="1" t="s">
        <v>41</v>
      </c>
      <c r="E461" s="3">
        <v>999990</v>
      </c>
      <c r="F461" s="1">
        <v>969.92240543161904</v>
      </c>
      <c r="G461" s="1">
        <v>4</v>
      </c>
      <c r="H461" s="1">
        <v>2</v>
      </c>
      <c r="I461" s="1">
        <v>2</v>
      </c>
      <c r="J461" s="1">
        <v>2</v>
      </c>
      <c r="K461" s="1">
        <v>2</v>
      </c>
      <c r="M461" s="4">
        <v>1031</v>
      </c>
      <c r="N461" s="1">
        <v>1154</v>
      </c>
      <c r="O461" s="1">
        <v>1825</v>
      </c>
      <c r="P461" s="1">
        <v>671</v>
      </c>
      <c r="Q461" s="1" t="s">
        <v>42</v>
      </c>
      <c r="S461" s="1" t="s">
        <v>42</v>
      </c>
      <c r="T461" s="1" t="s">
        <v>203</v>
      </c>
      <c r="U461" s="1">
        <v>229</v>
      </c>
      <c r="V461" s="5">
        <v>43909</v>
      </c>
      <c r="W461" s="5">
        <v>43658</v>
      </c>
      <c r="X461" s="1">
        <v>1150000</v>
      </c>
      <c r="Y461" s="1">
        <v>1075000</v>
      </c>
      <c r="Z461" s="5">
        <v>43887</v>
      </c>
      <c r="AA461" s="1">
        <v>999990</v>
      </c>
      <c r="AB461" s="1" t="s">
        <v>290</v>
      </c>
      <c r="AC461" s="5">
        <v>44027</v>
      </c>
      <c r="AF461" s="1">
        <v>10029</v>
      </c>
      <c r="AI461" s="1" t="s">
        <v>52</v>
      </c>
      <c r="AJ461" s="1">
        <v>2019</v>
      </c>
      <c r="AK461" s="1" t="s">
        <v>81</v>
      </c>
      <c r="AL461" s="1">
        <v>72</v>
      </c>
    </row>
    <row r="462" spans="1:38" x14ac:dyDescent="0.2">
      <c r="A462" s="2" t="str">
        <f>HYPERLINK("https://www.compass.com/listing/150-rivington-street-unit-4b-manhattan-ny-10002/380348404852487617/","150 Rivington St, Unit 4B")</f>
        <v>150 Rivington St, Unit 4B</v>
      </c>
      <c r="B462" s="2" t="str">
        <f t="shared" ref="B462:B478" si="74">HYPERLINK("https://www.compass.com/building/150-rivington-street-manhattan-ny/282058947895000453/","150 Rivington Street")</f>
        <v>150 Rivington Street</v>
      </c>
      <c r="C462" s="1" t="s">
        <v>84</v>
      </c>
      <c r="D462" s="1" t="s">
        <v>41</v>
      </c>
      <c r="E462" s="3">
        <v>995000</v>
      </c>
      <c r="F462" s="1">
        <v>1631.1475409836</v>
      </c>
      <c r="G462" s="1">
        <v>3</v>
      </c>
      <c r="H462" s="1">
        <v>1</v>
      </c>
      <c r="I462" s="1">
        <v>1</v>
      </c>
      <c r="J462" s="1">
        <v>1</v>
      </c>
      <c r="K462" s="1">
        <v>1</v>
      </c>
      <c r="M462" s="1">
        <v>610</v>
      </c>
      <c r="N462" s="1">
        <v>855</v>
      </c>
      <c r="O462" s="1">
        <v>1744</v>
      </c>
      <c r="P462" s="1">
        <v>889</v>
      </c>
      <c r="Q462" s="1" t="s">
        <v>42</v>
      </c>
      <c r="S462" s="1" t="s">
        <v>42</v>
      </c>
      <c r="T462" s="1" t="s">
        <v>203</v>
      </c>
      <c r="U462" s="1">
        <v>82</v>
      </c>
      <c r="V462" s="5">
        <v>43859</v>
      </c>
      <c r="W462" s="5">
        <v>43777</v>
      </c>
      <c r="X462" s="1">
        <v>1135000</v>
      </c>
      <c r="Y462" s="1">
        <v>1050000</v>
      </c>
      <c r="Z462" s="5">
        <v>43859</v>
      </c>
      <c r="AA462" s="1">
        <v>995000</v>
      </c>
      <c r="AB462" s="1" t="s">
        <v>291</v>
      </c>
      <c r="AC462" s="5">
        <v>43941</v>
      </c>
      <c r="AF462" s="1">
        <v>10002</v>
      </c>
      <c r="AI462" s="1" t="s">
        <v>261</v>
      </c>
      <c r="AJ462" s="1">
        <v>2019</v>
      </c>
      <c r="AK462" s="1" t="s">
        <v>87</v>
      </c>
      <c r="AL462" s="1">
        <v>45</v>
      </c>
    </row>
    <row r="463" spans="1:38" x14ac:dyDescent="0.2">
      <c r="A463" s="2" t="str">
        <f>HYPERLINK("https://www.compass.com/listing/150-rivington-street-unit-6b-manhattan-ny-10002/436290715959080409/","150 Rivington St, Unit 6B")</f>
        <v>150 Rivington St, Unit 6B</v>
      </c>
      <c r="B463" s="2" t="str">
        <f t="shared" si="74"/>
        <v>150 Rivington Street</v>
      </c>
      <c r="C463" s="1" t="s">
        <v>84</v>
      </c>
      <c r="D463" s="1" t="s">
        <v>41</v>
      </c>
      <c r="E463" s="3">
        <v>1080000</v>
      </c>
      <c r="F463" s="1">
        <v>1770.49180327868</v>
      </c>
      <c r="G463" s="1">
        <v>3</v>
      </c>
      <c r="H463" s="1">
        <v>1</v>
      </c>
      <c r="I463" s="1">
        <v>1</v>
      </c>
      <c r="J463" s="1">
        <v>1</v>
      </c>
      <c r="K463" s="1">
        <v>1</v>
      </c>
      <c r="M463" s="1">
        <v>610</v>
      </c>
      <c r="N463" s="1">
        <v>1102</v>
      </c>
      <c r="O463" s="1">
        <v>1966</v>
      </c>
      <c r="P463" s="1">
        <v>864</v>
      </c>
      <c r="Q463" s="1" t="s">
        <v>42</v>
      </c>
      <c r="S463" s="1" t="s">
        <v>42</v>
      </c>
      <c r="T463" s="1" t="s">
        <v>203</v>
      </c>
      <c r="V463" s="5">
        <v>43893</v>
      </c>
      <c r="Y463" s="1">
        <v>1185000</v>
      </c>
      <c r="Z463" s="5">
        <v>43854</v>
      </c>
      <c r="AA463" s="1">
        <v>1080000</v>
      </c>
      <c r="AB463" s="1" t="s">
        <v>292</v>
      </c>
      <c r="AC463" s="5">
        <v>43892</v>
      </c>
      <c r="AF463" s="1">
        <v>10002</v>
      </c>
      <c r="AI463" s="1" t="s">
        <v>261</v>
      </c>
      <c r="AJ463" s="1">
        <v>2019</v>
      </c>
      <c r="AK463" s="1" t="s">
        <v>55</v>
      </c>
      <c r="AL463" s="1">
        <v>45</v>
      </c>
    </row>
    <row r="464" spans="1:38" x14ac:dyDescent="0.2">
      <c r="A464" s="2" t="str">
        <f>HYPERLINK("https://www.compass.com/listing/150-rivington-street-unit-5b-manhattan-ny-10002/439186828345235553/","150 Rivington St, Unit 5B")</f>
        <v>150 Rivington St, Unit 5B</v>
      </c>
      <c r="B464" s="2" t="str">
        <f t="shared" si="74"/>
        <v>150 Rivington Street</v>
      </c>
      <c r="C464" s="1" t="s">
        <v>84</v>
      </c>
      <c r="D464" s="1" t="s">
        <v>41</v>
      </c>
      <c r="E464" s="3">
        <v>1055000</v>
      </c>
      <c r="F464" s="1">
        <v>1729.50819672131</v>
      </c>
      <c r="G464" s="1">
        <v>3</v>
      </c>
      <c r="H464" s="1">
        <v>1</v>
      </c>
      <c r="I464" s="1">
        <v>1</v>
      </c>
      <c r="J464" s="1">
        <v>1</v>
      </c>
      <c r="K464" s="1">
        <v>1</v>
      </c>
      <c r="M464" s="1">
        <v>610</v>
      </c>
      <c r="N464" s="1">
        <v>1097</v>
      </c>
      <c r="O464" s="1">
        <v>1956</v>
      </c>
      <c r="P464" s="1">
        <v>859</v>
      </c>
      <c r="Q464" s="1" t="s">
        <v>42</v>
      </c>
      <c r="S464" s="1" t="s">
        <v>42</v>
      </c>
      <c r="T464" s="1" t="s">
        <v>203</v>
      </c>
      <c r="V464" s="5">
        <v>43858</v>
      </c>
      <c r="Y464" s="1">
        <v>1165000</v>
      </c>
      <c r="Z464" s="5">
        <v>43858</v>
      </c>
      <c r="AA464" s="1">
        <v>1055000</v>
      </c>
      <c r="AB464" s="1" t="s">
        <v>293</v>
      </c>
      <c r="AC464" s="5">
        <v>43930</v>
      </c>
      <c r="AF464" s="1">
        <v>10002</v>
      </c>
      <c r="AI464" s="1" t="s">
        <v>261</v>
      </c>
      <c r="AJ464" s="1">
        <v>2019</v>
      </c>
      <c r="AK464" s="1" t="s">
        <v>55</v>
      </c>
      <c r="AL464" s="1">
        <v>45</v>
      </c>
    </row>
    <row r="465" spans="1:38" x14ac:dyDescent="0.2">
      <c r="A465" s="2" t="str">
        <f>HYPERLINK("https://www.compass.com/listing/150-rivington-street-unit-3e-manhattan-ny-10002/386791591980715969/","150 Rivington St, Unit 3E")</f>
        <v>150 Rivington St, Unit 3E</v>
      </c>
      <c r="B465" s="2" t="str">
        <f t="shared" si="74"/>
        <v>150 Rivington Street</v>
      </c>
      <c r="C465" s="1" t="s">
        <v>84</v>
      </c>
      <c r="D465" s="1" t="s">
        <v>41</v>
      </c>
      <c r="E465" s="3">
        <v>1020000</v>
      </c>
      <c r="F465" s="1">
        <v>1878.45303867403</v>
      </c>
      <c r="G465" s="1">
        <v>3</v>
      </c>
      <c r="H465" s="1">
        <v>1</v>
      </c>
      <c r="I465" s="1">
        <v>1</v>
      </c>
      <c r="J465" s="1">
        <v>1</v>
      </c>
      <c r="K465" s="1">
        <v>1</v>
      </c>
      <c r="M465" s="1">
        <v>543</v>
      </c>
      <c r="N465" s="1">
        <v>660</v>
      </c>
      <c r="O465" s="1">
        <v>1447</v>
      </c>
      <c r="P465" s="1">
        <v>787</v>
      </c>
      <c r="Q465" s="1" t="s">
        <v>42</v>
      </c>
      <c r="S465" s="1" t="s">
        <v>42</v>
      </c>
      <c r="T465" s="1" t="s">
        <v>203</v>
      </c>
      <c r="V465" s="5">
        <v>43852</v>
      </c>
      <c r="W465" s="5">
        <v>43786</v>
      </c>
      <c r="X465" s="1">
        <v>1030000</v>
      </c>
      <c r="Y465" s="1">
        <v>1030000</v>
      </c>
      <c r="Z465" s="5">
        <v>43786</v>
      </c>
      <c r="AA465" s="1">
        <v>1020000</v>
      </c>
      <c r="AB465" s="1" t="s">
        <v>294</v>
      </c>
      <c r="AC465" s="5">
        <v>43840</v>
      </c>
      <c r="AF465" s="1">
        <v>10002</v>
      </c>
      <c r="AI465" s="1" t="s">
        <v>261</v>
      </c>
      <c r="AJ465" s="1">
        <v>2019</v>
      </c>
      <c r="AK465" s="1" t="s">
        <v>55</v>
      </c>
      <c r="AL465" s="1">
        <v>45</v>
      </c>
    </row>
    <row r="466" spans="1:38" x14ac:dyDescent="0.2">
      <c r="A466" s="2" t="str">
        <f>HYPERLINK("https://www.compass.com/listing/150-rivington-street-unit-5h-manhattan-ny-10002/586808737892252185/","150 Rivington St, Unit 5H")</f>
        <v>150 Rivington St, Unit 5H</v>
      </c>
      <c r="B466" s="2" t="str">
        <f t="shared" si="74"/>
        <v>150 Rivington Street</v>
      </c>
      <c r="C466" s="1" t="s">
        <v>84</v>
      </c>
      <c r="D466" s="1" t="s">
        <v>41</v>
      </c>
      <c r="E466" s="3">
        <v>1550000</v>
      </c>
      <c r="F466" s="1">
        <v>1785.7142857142801</v>
      </c>
      <c r="G466" s="1">
        <v>4</v>
      </c>
      <c r="H466" s="1">
        <v>2</v>
      </c>
      <c r="I466" s="1">
        <v>2</v>
      </c>
      <c r="J466" s="1">
        <v>2</v>
      </c>
      <c r="K466" s="1">
        <v>2</v>
      </c>
      <c r="M466" s="1">
        <v>868</v>
      </c>
      <c r="N466" s="1">
        <v>1217</v>
      </c>
      <c r="O466" s="1">
        <v>2771</v>
      </c>
      <c r="P466" s="1">
        <v>1554</v>
      </c>
      <c r="Q466" s="1" t="s">
        <v>42</v>
      </c>
      <c r="S466" s="1" t="s">
        <v>42</v>
      </c>
      <c r="T466" s="1" t="s">
        <v>203</v>
      </c>
      <c r="U466" s="1">
        <v>161</v>
      </c>
      <c r="V466" s="5">
        <v>44275</v>
      </c>
      <c r="W466" s="5">
        <v>44061</v>
      </c>
      <c r="X466" s="1">
        <v>1575000</v>
      </c>
      <c r="Y466" s="1">
        <v>1575000</v>
      </c>
      <c r="Z466" s="5">
        <v>44223</v>
      </c>
      <c r="AA466" s="1">
        <v>1550000</v>
      </c>
      <c r="AB466" s="1" t="s">
        <v>295</v>
      </c>
      <c r="AC466" s="5">
        <v>44272</v>
      </c>
      <c r="AF466" s="1">
        <v>10002</v>
      </c>
      <c r="AI466" s="1" t="s">
        <v>54</v>
      </c>
      <c r="AJ466" s="1">
        <v>2019</v>
      </c>
      <c r="AK466" s="1" t="s">
        <v>55</v>
      </c>
      <c r="AL466" s="1">
        <v>45</v>
      </c>
    </row>
    <row r="467" spans="1:38" x14ac:dyDescent="0.2">
      <c r="A467" s="2" t="str">
        <f>HYPERLINK("https://www.compass.com/listing/150-rivington-street-unit-4h-manhattan-ny-10002/709295319878341281/","150 Rivington St, Unit 4H")</f>
        <v>150 Rivington St, Unit 4H</v>
      </c>
      <c r="B467" s="2" t="str">
        <f t="shared" si="74"/>
        <v>150 Rivington Street</v>
      </c>
      <c r="C467" s="1" t="s">
        <v>84</v>
      </c>
      <c r="D467" s="1" t="s">
        <v>41</v>
      </c>
      <c r="E467" s="3">
        <v>1775000</v>
      </c>
      <c r="F467" s="1">
        <v>1724.9757045675401</v>
      </c>
      <c r="G467" s="1">
        <v>2</v>
      </c>
      <c r="H467" s="1">
        <v>2</v>
      </c>
      <c r="I467" s="1">
        <v>2</v>
      </c>
      <c r="J467" s="1">
        <v>2</v>
      </c>
      <c r="K467" s="1">
        <v>2</v>
      </c>
      <c r="M467" s="4">
        <v>1029</v>
      </c>
      <c r="N467" s="1">
        <v>1442</v>
      </c>
      <c r="O467" s="1">
        <v>3283</v>
      </c>
      <c r="P467" s="1">
        <v>1841</v>
      </c>
      <c r="Q467" s="1" t="s">
        <v>42</v>
      </c>
      <c r="S467" s="1" t="s">
        <v>42</v>
      </c>
      <c r="T467" s="1" t="s">
        <v>203</v>
      </c>
      <c r="V467" s="5">
        <v>44328</v>
      </c>
      <c r="W467" s="5">
        <v>44230</v>
      </c>
      <c r="X467" s="1">
        <v>2025000</v>
      </c>
      <c r="Y467" s="1">
        <v>2025000</v>
      </c>
      <c r="Z467" s="5">
        <v>44230</v>
      </c>
      <c r="AA467" s="1">
        <v>1775000</v>
      </c>
      <c r="AB467" s="1" t="s">
        <v>296</v>
      </c>
      <c r="AC467" s="5">
        <v>44327</v>
      </c>
      <c r="AF467" s="1">
        <v>10002</v>
      </c>
      <c r="AI467" s="1" t="s">
        <v>54</v>
      </c>
      <c r="AJ467" s="1">
        <v>2019</v>
      </c>
      <c r="AK467" s="1" t="s">
        <v>55</v>
      </c>
      <c r="AL467" s="1">
        <v>45</v>
      </c>
    </row>
    <row r="468" spans="1:38" x14ac:dyDescent="0.2">
      <c r="A468" s="2" t="str">
        <f>HYPERLINK("https://www.compass.com/listing/150-rivington-street-unit-2g-manhattan-ny-10002/296918649197848033/","150 Rivington St, Unit 2G")</f>
        <v>150 Rivington St, Unit 2G</v>
      </c>
      <c r="B468" s="2" t="str">
        <f t="shared" si="74"/>
        <v>150 Rivington Street</v>
      </c>
      <c r="C468" s="1" t="s">
        <v>84</v>
      </c>
      <c r="D468" s="1" t="s">
        <v>41</v>
      </c>
      <c r="E468" s="3">
        <v>1255000</v>
      </c>
      <c r="F468" s="1">
        <v>1813.5838150289001</v>
      </c>
      <c r="G468" s="1">
        <v>3</v>
      </c>
      <c r="H468" s="1">
        <v>1</v>
      </c>
      <c r="I468" s="1">
        <v>1</v>
      </c>
      <c r="J468" s="1">
        <v>1</v>
      </c>
      <c r="K468" s="1">
        <v>1</v>
      </c>
      <c r="M468" s="1">
        <v>692</v>
      </c>
      <c r="N468" s="1">
        <v>960</v>
      </c>
      <c r="O468" s="1">
        <v>1958</v>
      </c>
      <c r="P468" s="1">
        <v>998</v>
      </c>
      <c r="Q468" s="1" t="s">
        <v>42</v>
      </c>
      <c r="S468" s="1" t="s">
        <v>42</v>
      </c>
      <c r="T468" s="1" t="s">
        <v>203</v>
      </c>
      <c r="V468" s="5">
        <v>43679</v>
      </c>
      <c r="W468" s="5">
        <v>43662</v>
      </c>
      <c r="X468" s="1">
        <v>1275000</v>
      </c>
      <c r="Y468" s="1">
        <v>1275000</v>
      </c>
      <c r="Z468" s="5">
        <v>43662</v>
      </c>
      <c r="AA468" s="1">
        <v>1255000</v>
      </c>
      <c r="AB468" s="1" t="s">
        <v>297</v>
      </c>
      <c r="AC468" s="5">
        <v>43676</v>
      </c>
      <c r="AF468" s="1">
        <v>10002</v>
      </c>
      <c r="AI468" s="1" t="s">
        <v>54</v>
      </c>
      <c r="AJ468" s="1">
        <v>2019</v>
      </c>
      <c r="AK468" s="1" t="s">
        <v>55</v>
      </c>
      <c r="AL468" s="1">
        <v>45</v>
      </c>
    </row>
    <row r="469" spans="1:38" x14ac:dyDescent="0.2">
      <c r="A469" s="2" t="str">
        <f>HYPERLINK("https://www.compass.com/listing/150-rivington-street-unit-3b-manhattan-ny-10002/299236719157478737/","150 Rivington St, Unit 3B")</f>
        <v>150 Rivington St, Unit 3B</v>
      </c>
      <c r="B469" s="2" t="str">
        <f t="shared" si="74"/>
        <v>150 Rivington Street</v>
      </c>
      <c r="C469" s="1" t="s">
        <v>84</v>
      </c>
      <c r="D469" s="1" t="s">
        <v>41</v>
      </c>
      <c r="E469" s="3">
        <v>1100000</v>
      </c>
      <c r="F469" s="1">
        <v>1803.2786885245901</v>
      </c>
      <c r="G469" s="1">
        <v>3</v>
      </c>
      <c r="H469" s="1">
        <v>1</v>
      </c>
      <c r="I469" s="1">
        <v>1</v>
      </c>
      <c r="J469" s="1">
        <v>1</v>
      </c>
      <c r="K469" s="1">
        <v>1</v>
      </c>
      <c r="M469" s="1">
        <v>610</v>
      </c>
      <c r="N469" s="1">
        <v>889</v>
      </c>
      <c r="O469" s="1">
        <v>2024</v>
      </c>
      <c r="P469" s="1">
        <v>1135</v>
      </c>
      <c r="Q469" s="1" t="s">
        <v>42</v>
      </c>
      <c r="S469" s="1" t="s">
        <v>42</v>
      </c>
      <c r="T469" s="1" t="s">
        <v>203</v>
      </c>
      <c r="U469" s="1">
        <v>217</v>
      </c>
      <c r="V469" s="5">
        <v>43938</v>
      </c>
      <c r="W469" s="5">
        <v>43665</v>
      </c>
      <c r="X469" s="1">
        <v>1220000</v>
      </c>
      <c r="Y469" s="1">
        <v>1220000</v>
      </c>
      <c r="Z469" s="5">
        <v>43883</v>
      </c>
      <c r="AA469" s="1">
        <v>1100000</v>
      </c>
      <c r="AB469" s="1" t="s">
        <v>298</v>
      </c>
      <c r="AC469" s="5">
        <v>43934</v>
      </c>
      <c r="AF469" s="1">
        <v>10002</v>
      </c>
      <c r="AI469" s="1" t="s">
        <v>299</v>
      </c>
      <c r="AJ469" s="1">
        <v>2019</v>
      </c>
      <c r="AK469" s="1" t="s">
        <v>55</v>
      </c>
      <c r="AL469" s="1">
        <v>45</v>
      </c>
    </row>
    <row r="470" spans="1:38" x14ac:dyDescent="0.2">
      <c r="A470" s="2" t="str">
        <f>HYPERLINK("https://www.compass.com/listing/150-rivington-street-unit-3g-manhattan-ny-10002/586832529301217481/","150 Rivington St, Unit 3G")</f>
        <v>150 Rivington St, Unit 3G</v>
      </c>
      <c r="B470" s="2" t="str">
        <f t="shared" si="74"/>
        <v>150 Rivington Street</v>
      </c>
      <c r="C470" s="1" t="s">
        <v>84</v>
      </c>
      <c r="D470" s="1" t="s">
        <v>41</v>
      </c>
      <c r="E470" s="3">
        <v>1760000</v>
      </c>
      <c r="F470" s="1">
        <v>1710.3984450923199</v>
      </c>
      <c r="G470" s="1">
        <v>5</v>
      </c>
      <c r="H470" s="1">
        <v>2</v>
      </c>
      <c r="I470" s="1">
        <v>2</v>
      </c>
      <c r="J470" s="1">
        <v>2</v>
      </c>
      <c r="K470" s="1">
        <v>2</v>
      </c>
      <c r="M470" s="4">
        <v>1029</v>
      </c>
      <c r="N470" s="1">
        <v>1435</v>
      </c>
      <c r="O470" s="1">
        <v>3267</v>
      </c>
      <c r="P470" s="1">
        <v>1832</v>
      </c>
      <c r="Q470" s="1" t="s">
        <v>42</v>
      </c>
      <c r="S470" s="1" t="s">
        <v>42</v>
      </c>
      <c r="T470" s="1" t="s">
        <v>203</v>
      </c>
      <c r="U470" s="1">
        <v>163</v>
      </c>
      <c r="V470" s="5">
        <v>44301</v>
      </c>
      <c r="W470" s="5">
        <v>44062</v>
      </c>
      <c r="X470" s="1">
        <v>1895000</v>
      </c>
      <c r="Y470" s="1">
        <v>1895000</v>
      </c>
      <c r="Z470" s="5">
        <v>44225</v>
      </c>
      <c r="AA470" s="1">
        <v>1760000</v>
      </c>
      <c r="AB470" s="1" t="s">
        <v>300</v>
      </c>
      <c r="AC470" s="5">
        <v>44294</v>
      </c>
      <c r="AF470" s="1">
        <v>10002</v>
      </c>
      <c r="AI470" s="1" t="s">
        <v>54</v>
      </c>
      <c r="AJ470" s="1">
        <v>2019</v>
      </c>
      <c r="AK470" s="1" t="s">
        <v>55</v>
      </c>
      <c r="AL470" s="1">
        <v>45</v>
      </c>
    </row>
    <row r="471" spans="1:38" x14ac:dyDescent="0.2">
      <c r="A471" s="2" t="str">
        <f>HYPERLINK("https://www.compass.com/listing/150-rivington-street-unit-6h-manhattan-ny-10002/473010114074016105/","150 Rivington St, Unit 6H")</f>
        <v>150 Rivington St, Unit 6H</v>
      </c>
      <c r="B471" s="2" t="str">
        <f t="shared" si="74"/>
        <v>150 Rivington Street</v>
      </c>
      <c r="C471" s="1" t="s">
        <v>84</v>
      </c>
      <c r="D471" s="1" t="s">
        <v>41</v>
      </c>
      <c r="E471" s="3">
        <v>1550000</v>
      </c>
      <c r="F471" s="1">
        <v>1827.8301886792401</v>
      </c>
      <c r="G471" s="1">
        <v>4</v>
      </c>
      <c r="H471" s="1">
        <v>2</v>
      </c>
      <c r="I471" s="1">
        <v>2</v>
      </c>
      <c r="J471" s="1">
        <v>2</v>
      </c>
      <c r="K471" s="1">
        <v>2</v>
      </c>
      <c r="M471" s="1">
        <v>848</v>
      </c>
      <c r="N471" s="1">
        <v>1200</v>
      </c>
      <c r="O471" s="1">
        <v>2733</v>
      </c>
      <c r="P471" s="1">
        <v>1533</v>
      </c>
      <c r="Q471" s="1" t="s">
        <v>42</v>
      </c>
      <c r="S471" s="1" t="s">
        <v>42</v>
      </c>
      <c r="T471" s="1" t="s">
        <v>203</v>
      </c>
      <c r="U471" s="1">
        <v>63</v>
      </c>
      <c r="V471" s="5">
        <v>44147</v>
      </c>
      <c r="W471" s="5">
        <v>43904</v>
      </c>
      <c r="X471" s="1">
        <v>1650000</v>
      </c>
      <c r="Y471" s="1">
        <v>1650000</v>
      </c>
      <c r="Z471" s="5">
        <v>44117</v>
      </c>
      <c r="AA471" s="1">
        <v>1550000</v>
      </c>
      <c r="AB471" s="1" t="s">
        <v>301</v>
      </c>
      <c r="AC471" s="5">
        <v>44141</v>
      </c>
      <c r="AF471" s="1">
        <v>10002</v>
      </c>
      <c r="AI471" s="1" t="s">
        <v>261</v>
      </c>
      <c r="AJ471" s="1">
        <v>2019</v>
      </c>
      <c r="AK471" s="1" t="s">
        <v>87</v>
      </c>
      <c r="AL471" s="1">
        <v>45</v>
      </c>
    </row>
    <row r="472" spans="1:38" x14ac:dyDescent="0.2">
      <c r="A472" s="2" t="str">
        <f>HYPERLINK("https://www.compass.com/listing/150-rivington-street-unit-3c-manhattan-ny-10002/473010294044785217/","150 Rivington St, Unit 3C")</f>
        <v>150 Rivington St, Unit 3C</v>
      </c>
      <c r="B472" s="2" t="str">
        <f t="shared" si="74"/>
        <v>150 Rivington Street</v>
      </c>
      <c r="C472" s="1" t="s">
        <v>84</v>
      </c>
      <c r="D472" s="1" t="s">
        <v>41</v>
      </c>
      <c r="E472" s="3">
        <v>2280000</v>
      </c>
      <c r="F472" s="1">
        <v>1658.1818181818101</v>
      </c>
      <c r="G472" s="1">
        <v>5</v>
      </c>
      <c r="H472" s="1">
        <v>3</v>
      </c>
      <c r="I472" s="1">
        <v>3</v>
      </c>
      <c r="J472" s="1">
        <v>2.5</v>
      </c>
      <c r="K472" s="1">
        <v>2</v>
      </c>
      <c r="L472" s="1">
        <v>1</v>
      </c>
      <c r="M472" s="4">
        <v>1375</v>
      </c>
      <c r="N472" s="1">
        <v>1918</v>
      </c>
      <c r="O472" s="1">
        <v>4366</v>
      </c>
      <c r="P472" s="1">
        <v>2448</v>
      </c>
      <c r="Q472" s="1" t="s">
        <v>42</v>
      </c>
      <c r="S472" s="1" t="s">
        <v>42</v>
      </c>
      <c r="T472" s="1" t="s">
        <v>203</v>
      </c>
      <c r="U472" s="1">
        <v>241</v>
      </c>
      <c r="V472" s="5">
        <v>44315</v>
      </c>
      <c r="W472" s="5">
        <v>43904</v>
      </c>
      <c r="X472" s="1">
        <v>2650000</v>
      </c>
      <c r="Y472" s="1">
        <v>2650000</v>
      </c>
      <c r="Z472" s="5">
        <v>44240</v>
      </c>
      <c r="AA472" s="1">
        <v>2280000</v>
      </c>
      <c r="AB472" s="1" t="s">
        <v>302</v>
      </c>
      <c r="AC472" s="5">
        <v>44314</v>
      </c>
      <c r="AF472" s="1">
        <v>10002</v>
      </c>
      <c r="AI472" s="1" t="s">
        <v>261</v>
      </c>
      <c r="AJ472" s="1">
        <v>2019</v>
      </c>
      <c r="AK472" s="1" t="s">
        <v>55</v>
      </c>
      <c r="AL472" s="1">
        <v>45</v>
      </c>
    </row>
    <row r="473" spans="1:38" x14ac:dyDescent="0.2">
      <c r="A473" s="2" t="str">
        <f>HYPERLINK("https://www.compass.com/listing/150-rivington-street-unit-2h-manhattan-ny-10002/531101480846521825/","150 Rivington St, Unit 2H")</f>
        <v>150 Rivington St, Unit 2H</v>
      </c>
      <c r="B473" s="2" t="str">
        <f t="shared" si="74"/>
        <v>150 Rivington Street</v>
      </c>
      <c r="C473" s="1" t="s">
        <v>84</v>
      </c>
      <c r="D473" s="1" t="s">
        <v>41</v>
      </c>
      <c r="E473" s="3">
        <v>2200000</v>
      </c>
      <c r="F473" s="1">
        <v>1824.21227197346</v>
      </c>
      <c r="G473" s="1">
        <v>4</v>
      </c>
      <c r="H473" s="1">
        <v>2</v>
      </c>
      <c r="I473" s="1">
        <v>2</v>
      </c>
      <c r="J473" s="1">
        <v>2</v>
      </c>
      <c r="K473" s="1">
        <v>2</v>
      </c>
      <c r="M473" s="4">
        <v>1206</v>
      </c>
      <c r="N473" s="1">
        <v>2431</v>
      </c>
      <c r="O473" s="1">
        <v>4335</v>
      </c>
      <c r="P473" s="1">
        <v>1904</v>
      </c>
      <c r="Q473" s="1" t="s">
        <v>42</v>
      </c>
      <c r="S473" s="1" t="s">
        <v>42</v>
      </c>
      <c r="T473" s="1" t="s">
        <v>203</v>
      </c>
      <c r="V473" s="5">
        <v>44014</v>
      </c>
      <c r="W473" s="5">
        <v>43985</v>
      </c>
      <c r="X473" s="1">
        <v>2295000</v>
      </c>
      <c r="Y473" s="1">
        <v>2295000</v>
      </c>
      <c r="Z473" s="5">
        <v>43985</v>
      </c>
      <c r="AA473" s="1">
        <v>2200000</v>
      </c>
      <c r="AB473" s="1" t="s">
        <v>303</v>
      </c>
      <c r="AC473" s="5">
        <v>44012</v>
      </c>
      <c r="AF473" s="1">
        <v>10002</v>
      </c>
      <c r="AI473" s="1" t="s">
        <v>261</v>
      </c>
      <c r="AJ473" s="1">
        <v>2019</v>
      </c>
      <c r="AK473" s="1" t="s">
        <v>55</v>
      </c>
      <c r="AL473" s="1">
        <v>45</v>
      </c>
    </row>
    <row r="474" spans="1:38" x14ac:dyDescent="0.2">
      <c r="A474" s="2" t="str">
        <f>HYPERLINK("https://www.compass.com/listing/150-rivington-street-unit-phc-manhattan-ny-10002/296927739378690385/","150 Rivington St, Unit PHC")</f>
        <v>150 Rivington St, Unit PHC</v>
      </c>
      <c r="B474" s="2" t="str">
        <f t="shared" si="74"/>
        <v>150 Rivington Street</v>
      </c>
      <c r="C474" s="1" t="s">
        <v>84</v>
      </c>
      <c r="D474" s="1" t="s">
        <v>41</v>
      </c>
      <c r="E474" s="3">
        <v>3801073</v>
      </c>
      <c r="F474" s="1">
        <v>2605.2587388622301</v>
      </c>
      <c r="G474" s="1">
        <v>5</v>
      </c>
      <c r="H474" s="1">
        <v>3</v>
      </c>
      <c r="I474" s="1">
        <v>3</v>
      </c>
      <c r="J474" s="1">
        <v>3</v>
      </c>
      <c r="K474" s="1">
        <v>3</v>
      </c>
      <c r="M474" s="4">
        <v>1459</v>
      </c>
      <c r="N474" s="1">
        <v>2305</v>
      </c>
      <c r="O474" s="1">
        <v>4703</v>
      </c>
      <c r="P474" s="1">
        <v>2398</v>
      </c>
      <c r="Q474" s="1" t="s">
        <v>42</v>
      </c>
      <c r="S474" s="1" t="s">
        <v>42</v>
      </c>
      <c r="T474" s="1" t="s">
        <v>203</v>
      </c>
      <c r="V474" s="5">
        <v>43683</v>
      </c>
      <c r="W474" s="5">
        <v>43662</v>
      </c>
      <c r="X474" s="1">
        <v>3730000</v>
      </c>
      <c r="Y474" s="1">
        <v>3730000</v>
      </c>
      <c r="Z474" s="5">
        <v>43662</v>
      </c>
      <c r="AA474" s="1">
        <v>3801072.5</v>
      </c>
      <c r="AB474" s="1" t="s">
        <v>304</v>
      </c>
      <c r="AC474" s="5">
        <v>43679</v>
      </c>
      <c r="AF474" s="1">
        <v>10002</v>
      </c>
      <c r="AI474" s="1" t="s">
        <v>54</v>
      </c>
      <c r="AJ474" s="1">
        <v>2019</v>
      </c>
      <c r="AK474" s="1" t="s">
        <v>55</v>
      </c>
      <c r="AL474" s="1">
        <v>45</v>
      </c>
    </row>
    <row r="475" spans="1:38" x14ac:dyDescent="0.2">
      <c r="A475" s="2" t="str">
        <f>HYPERLINK("https://www.compass.com/listing/150-rivington-street-unit-4e-manhattan-ny-10002/296922181909112641/","150 Rivington St, Unit 4E")</f>
        <v>150 Rivington St, Unit 4E</v>
      </c>
      <c r="B475" s="2" t="str">
        <f t="shared" si="74"/>
        <v>150 Rivington Street</v>
      </c>
      <c r="C475" s="1" t="s">
        <v>84</v>
      </c>
      <c r="D475" s="1" t="s">
        <v>41</v>
      </c>
      <c r="E475" s="3">
        <v>2095000</v>
      </c>
      <c r="F475" s="1">
        <v>1967.1361502347399</v>
      </c>
      <c r="G475" s="1">
        <v>4</v>
      </c>
      <c r="H475" s="1">
        <v>2</v>
      </c>
      <c r="I475" s="1">
        <v>2</v>
      </c>
      <c r="J475" s="1">
        <v>2</v>
      </c>
      <c r="K475" s="1">
        <v>2</v>
      </c>
      <c r="M475" s="4">
        <v>1065</v>
      </c>
      <c r="N475" s="1">
        <v>1493</v>
      </c>
      <c r="O475" s="1">
        <v>3044</v>
      </c>
      <c r="P475" s="1">
        <v>1551</v>
      </c>
      <c r="Q475" s="1" t="s">
        <v>42</v>
      </c>
      <c r="S475" s="1" t="s">
        <v>42</v>
      </c>
      <c r="T475" s="1" t="s">
        <v>203</v>
      </c>
      <c r="V475" s="5">
        <v>43687</v>
      </c>
      <c r="W475" s="5">
        <v>43662</v>
      </c>
      <c r="X475" s="1">
        <v>2195000</v>
      </c>
      <c r="Y475" s="1">
        <v>2195000</v>
      </c>
      <c r="Z475" s="5">
        <v>43662</v>
      </c>
      <c r="AA475" s="1">
        <v>2095000</v>
      </c>
      <c r="AB475" s="1" t="s">
        <v>305</v>
      </c>
      <c r="AC475" s="5">
        <v>43685</v>
      </c>
      <c r="AF475" s="1">
        <v>10002</v>
      </c>
      <c r="AI475" s="1" t="s">
        <v>54</v>
      </c>
      <c r="AJ475" s="1">
        <v>2019</v>
      </c>
      <c r="AK475" s="1" t="s">
        <v>55</v>
      </c>
      <c r="AL475" s="1">
        <v>45</v>
      </c>
    </row>
    <row r="476" spans="1:38" x14ac:dyDescent="0.2">
      <c r="A476" s="2" t="str">
        <f>HYPERLINK("https://www.compass.com/listing/150-rivington-street-unit-pha-manhattan-ny-10002/296925880857304273/","150 Rivington St, Unit PHA")</f>
        <v>150 Rivington St, Unit PHA</v>
      </c>
      <c r="B476" s="2" t="str">
        <f t="shared" si="74"/>
        <v>150 Rivington Street</v>
      </c>
      <c r="C476" s="1" t="s">
        <v>84</v>
      </c>
      <c r="D476" s="1" t="s">
        <v>41</v>
      </c>
      <c r="E476" s="3">
        <v>4250000</v>
      </c>
      <c r="F476" s="1">
        <v>2613.7761377613701</v>
      </c>
      <c r="G476" s="1">
        <v>5</v>
      </c>
      <c r="H476" s="1">
        <v>3</v>
      </c>
      <c r="I476" s="1">
        <v>3</v>
      </c>
      <c r="J476" s="1">
        <v>3</v>
      </c>
      <c r="K476" s="1">
        <v>3</v>
      </c>
      <c r="M476" s="4">
        <v>1626</v>
      </c>
      <c r="N476" s="1">
        <v>2697</v>
      </c>
      <c r="O476" s="1">
        <v>5501</v>
      </c>
      <c r="P476" s="1">
        <v>2804</v>
      </c>
      <c r="Q476" s="1" t="s">
        <v>42</v>
      </c>
      <c r="S476" s="1" t="s">
        <v>42</v>
      </c>
      <c r="T476" s="1" t="s">
        <v>203</v>
      </c>
      <c r="V476" s="5">
        <v>43679</v>
      </c>
      <c r="W476" s="5">
        <v>43662</v>
      </c>
      <c r="X476" s="1">
        <v>4250000</v>
      </c>
      <c r="Y476" s="1">
        <v>4250000</v>
      </c>
      <c r="Z476" s="5">
        <v>43662</v>
      </c>
      <c r="AA476" s="1">
        <v>4250000</v>
      </c>
      <c r="AB476" s="1" t="s">
        <v>306</v>
      </c>
      <c r="AC476" s="5">
        <v>43677</v>
      </c>
      <c r="AF476" s="1">
        <v>10002</v>
      </c>
      <c r="AI476" s="1" t="s">
        <v>54</v>
      </c>
      <c r="AJ476" s="1">
        <v>2019</v>
      </c>
      <c r="AK476" s="1" t="s">
        <v>55</v>
      </c>
      <c r="AL476" s="1">
        <v>45</v>
      </c>
    </row>
    <row r="477" spans="1:38" x14ac:dyDescent="0.2">
      <c r="A477" s="2" t="str">
        <f>HYPERLINK("https://www.compass.com/listing/150-rivington-street-unit-phb-manhattan-ny-10002/296926879294711969/","150 Rivington St, Unit PHB")</f>
        <v>150 Rivington St, Unit PHB</v>
      </c>
      <c r="B477" s="2" t="str">
        <f t="shared" si="74"/>
        <v>150 Rivington Street</v>
      </c>
      <c r="C477" s="1" t="s">
        <v>84</v>
      </c>
      <c r="D477" s="1" t="s">
        <v>41</v>
      </c>
      <c r="E477" s="3">
        <v>3895000</v>
      </c>
      <c r="F477" s="1">
        <v>2660.5191256830599</v>
      </c>
      <c r="G477" s="1">
        <v>5</v>
      </c>
      <c r="H477" s="1">
        <v>3</v>
      </c>
      <c r="I477" s="1">
        <v>3</v>
      </c>
      <c r="J477" s="1">
        <v>3</v>
      </c>
      <c r="K477" s="1">
        <v>3</v>
      </c>
      <c r="M477" s="4">
        <v>1464</v>
      </c>
      <c r="N477" s="1">
        <v>2425</v>
      </c>
      <c r="O477" s="1">
        <v>4945</v>
      </c>
      <c r="P477" s="1">
        <v>2520</v>
      </c>
      <c r="Q477" s="1" t="s">
        <v>42</v>
      </c>
      <c r="S477" s="1" t="s">
        <v>42</v>
      </c>
      <c r="T477" s="1" t="s">
        <v>203</v>
      </c>
      <c r="V477" s="5">
        <v>43683</v>
      </c>
      <c r="W477" s="5">
        <v>43662</v>
      </c>
      <c r="X477" s="1">
        <v>3895000</v>
      </c>
      <c r="Y477" s="1">
        <v>3895000</v>
      </c>
      <c r="Z477" s="5">
        <v>43662</v>
      </c>
      <c r="AA477" s="1">
        <v>3895000</v>
      </c>
      <c r="AB477" s="1" t="s">
        <v>307</v>
      </c>
      <c r="AC477" s="5">
        <v>43682</v>
      </c>
      <c r="AF477" s="1">
        <v>10002</v>
      </c>
      <c r="AI477" s="1" t="s">
        <v>54</v>
      </c>
      <c r="AJ477" s="1">
        <v>2019</v>
      </c>
      <c r="AK477" s="1" t="s">
        <v>55</v>
      </c>
      <c r="AL477" s="1">
        <v>45</v>
      </c>
    </row>
    <row r="478" spans="1:38" x14ac:dyDescent="0.2">
      <c r="A478" s="2" t="str">
        <f>HYPERLINK("https://www.compass.com/listing/150-rivington-street-unit-phd-manhattan-ny-10002/296928367693956145/","150 Rivington St, Unit PHD")</f>
        <v>150 Rivington St, Unit PHD</v>
      </c>
      <c r="B478" s="2" t="str">
        <f t="shared" si="74"/>
        <v>150 Rivington Street</v>
      </c>
      <c r="C478" s="1" t="s">
        <v>84</v>
      </c>
      <c r="D478" s="1" t="s">
        <v>41</v>
      </c>
      <c r="E478" s="3">
        <v>4342238</v>
      </c>
      <c r="F478" s="1">
        <v>2713.8984375</v>
      </c>
      <c r="G478" s="1">
        <v>5</v>
      </c>
      <c r="H478" s="1">
        <v>3</v>
      </c>
      <c r="I478" s="1">
        <v>3</v>
      </c>
      <c r="J478" s="1">
        <v>2.5</v>
      </c>
      <c r="K478" s="1">
        <v>2</v>
      </c>
      <c r="L478" s="1">
        <v>1</v>
      </c>
      <c r="M478" s="4">
        <v>1600</v>
      </c>
      <c r="N478" s="1">
        <v>2829</v>
      </c>
      <c r="O478" s="1">
        <v>5769</v>
      </c>
      <c r="P478" s="1">
        <v>2940</v>
      </c>
      <c r="Q478" s="1" t="s">
        <v>42</v>
      </c>
      <c r="S478" s="1" t="s">
        <v>42</v>
      </c>
      <c r="T478" s="1" t="s">
        <v>203</v>
      </c>
      <c r="V478" s="5">
        <v>43683</v>
      </c>
      <c r="W478" s="5">
        <v>43662</v>
      </c>
      <c r="X478" s="1">
        <v>4375000</v>
      </c>
      <c r="Y478" s="1">
        <v>4375000</v>
      </c>
      <c r="Z478" s="5">
        <v>43662</v>
      </c>
      <c r="AA478" s="1">
        <v>4342237.5</v>
      </c>
      <c r="AB478" s="1" t="s">
        <v>308</v>
      </c>
      <c r="AC478" s="5">
        <v>43678</v>
      </c>
      <c r="AF478" s="1">
        <v>10002</v>
      </c>
      <c r="AI478" s="1" t="s">
        <v>54</v>
      </c>
      <c r="AJ478" s="1">
        <v>2019</v>
      </c>
      <c r="AK478" s="1" t="s">
        <v>55</v>
      </c>
      <c r="AL478" s="1">
        <v>45</v>
      </c>
    </row>
    <row r="479" spans="1:38" x14ac:dyDescent="0.2">
      <c r="A479" s="2" t="str">
        <f>HYPERLINK("https://www.compass.com/listing/535-west-52nd-street-unit-4e-manhattan-ny-10019/745624186541728193/","535 W 52nd St, Unit 4E")</f>
        <v>535 W 52nd St, Unit 4E</v>
      </c>
      <c r="B479" s="2" t="str">
        <f>HYPERLINK("https://www.compass.com/building/535-w-52nd-st-manhattan-ny/292847931621444293/","535 W 52nd St")</f>
        <v>535 W 52nd St</v>
      </c>
      <c r="C479" s="1" t="s">
        <v>57</v>
      </c>
      <c r="D479" s="1" t="s">
        <v>41</v>
      </c>
      <c r="E479" s="3">
        <v>336600</v>
      </c>
      <c r="F479" s="1">
        <v>534.28571428571399</v>
      </c>
      <c r="G479" s="1">
        <v>3</v>
      </c>
      <c r="H479" s="1">
        <v>1</v>
      </c>
      <c r="I479" s="1">
        <v>1</v>
      </c>
      <c r="J479" s="1">
        <v>1</v>
      </c>
      <c r="K479" s="1">
        <v>1</v>
      </c>
      <c r="M479" s="1">
        <v>630</v>
      </c>
      <c r="N479" s="1">
        <v>565</v>
      </c>
      <c r="O479" s="1">
        <v>565</v>
      </c>
      <c r="Q479" s="1" t="s">
        <v>191</v>
      </c>
      <c r="S479" s="1" t="s">
        <v>191</v>
      </c>
      <c r="T479" s="1" t="s">
        <v>203</v>
      </c>
      <c r="V479" s="5">
        <v>44281</v>
      </c>
      <c r="W479" s="5">
        <v>44281</v>
      </c>
      <c r="X479" s="1">
        <v>337526</v>
      </c>
      <c r="Y479" s="1">
        <v>337526</v>
      </c>
      <c r="Z479" s="5">
        <v>44281</v>
      </c>
      <c r="AA479" s="1">
        <v>336600</v>
      </c>
      <c r="AB479" s="1" t="s">
        <v>309</v>
      </c>
      <c r="AC479" s="5">
        <v>44343</v>
      </c>
      <c r="AF479" s="1">
        <v>10019</v>
      </c>
      <c r="AI479" s="1" t="s">
        <v>58</v>
      </c>
      <c r="AJ479" s="1">
        <v>2014</v>
      </c>
      <c r="AK479" s="1" t="s">
        <v>140</v>
      </c>
      <c r="AL479" s="1">
        <v>95</v>
      </c>
    </row>
    <row r="480" spans="1:38" x14ac:dyDescent="0.2">
      <c r="A480" s="2" t="str">
        <f>HYPERLINK("https://www.compass.com/listing/164-west-74th-street-unit-5b-manhattan-ny-10023/675426168698242057/","164 W 74th St, Unit 5B")</f>
        <v>164 W 74th St, Unit 5B</v>
      </c>
      <c r="B480" s="2" t="str">
        <f t="shared" ref="B480:B481" si="75">HYPERLINK("https://www.compass.com/building/the-marbury-manhattan-ny/282067269712909941/","The Marbury")</f>
        <v>The Marbury</v>
      </c>
      <c r="C480" s="1" t="s">
        <v>47</v>
      </c>
      <c r="D480" s="1" t="s">
        <v>41</v>
      </c>
      <c r="E480" s="3">
        <v>3476800</v>
      </c>
      <c r="F480" s="1">
        <v>2037.9835873387999</v>
      </c>
      <c r="G480" s="1">
        <v>4</v>
      </c>
      <c r="H480" s="1">
        <v>2</v>
      </c>
      <c r="I480" s="1">
        <v>3</v>
      </c>
      <c r="J480" s="1">
        <v>2.5</v>
      </c>
      <c r="K480" s="1">
        <v>2</v>
      </c>
      <c r="L480" s="1">
        <v>1</v>
      </c>
      <c r="M480" s="4">
        <v>1706</v>
      </c>
      <c r="N480" s="1">
        <v>1916</v>
      </c>
      <c r="O480" s="1">
        <v>4671</v>
      </c>
      <c r="P480" s="1">
        <v>2755</v>
      </c>
      <c r="Q480" s="1" t="s">
        <v>42</v>
      </c>
      <c r="S480" s="1" t="s">
        <v>42</v>
      </c>
      <c r="T480" s="1" t="s">
        <v>203</v>
      </c>
      <c r="V480" s="5">
        <v>44184</v>
      </c>
      <c r="W480" s="5">
        <v>44184</v>
      </c>
      <c r="X480" s="1">
        <v>4240000</v>
      </c>
      <c r="Y480" s="1">
        <v>4240000</v>
      </c>
      <c r="AA480" s="1">
        <v>3476800</v>
      </c>
      <c r="AB480" s="1" t="s">
        <v>310</v>
      </c>
      <c r="AC480" s="5">
        <v>44183</v>
      </c>
      <c r="AF480" s="1">
        <v>10023</v>
      </c>
      <c r="AI480" s="1" t="s">
        <v>67</v>
      </c>
      <c r="AJ480" s="1">
        <v>2019</v>
      </c>
      <c r="AK480" s="1" t="s">
        <v>55</v>
      </c>
      <c r="AL480" s="1">
        <v>14</v>
      </c>
    </row>
    <row r="481" spans="1:38" x14ac:dyDescent="0.2">
      <c r="A481" s="2" t="str">
        <f>HYPERLINK("https://www.compass.com/listing/164-west-74th-street-unit-6a-manhattan-ny-10023/673296619499661601/","164 W 74th St, Unit 6A")</f>
        <v>164 W 74th St, Unit 6A</v>
      </c>
      <c r="B481" s="2" t="str">
        <f t="shared" si="75"/>
        <v>The Marbury</v>
      </c>
      <c r="C481" s="1" t="s">
        <v>47</v>
      </c>
      <c r="D481" s="1" t="s">
        <v>41</v>
      </c>
      <c r="E481" s="3">
        <v>4100000</v>
      </c>
      <c r="F481" s="1">
        <v>2152.2309711285998</v>
      </c>
      <c r="G481" s="1">
        <v>5</v>
      </c>
      <c r="H481" s="1">
        <v>3</v>
      </c>
      <c r="I481" s="1">
        <v>3</v>
      </c>
      <c r="J481" s="1">
        <v>2.5</v>
      </c>
      <c r="K481" s="1">
        <v>2</v>
      </c>
      <c r="L481" s="1">
        <v>1</v>
      </c>
      <c r="M481" s="4">
        <v>1905</v>
      </c>
      <c r="N481" s="1">
        <v>2169.71</v>
      </c>
      <c r="O481" s="1">
        <v>5289.13</v>
      </c>
      <c r="P481" s="1">
        <v>3119.4166666666601</v>
      </c>
      <c r="Q481" s="1" t="s">
        <v>42</v>
      </c>
      <c r="S481" s="1" t="s">
        <v>42</v>
      </c>
      <c r="T481" s="1" t="s">
        <v>203</v>
      </c>
      <c r="V481" s="5">
        <v>44181</v>
      </c>
      <c r="W481" s="5">
        <v>44181</v>
      </c>
      <c r="X481" s="1">
        <v>4950000</v>
      </c>
      <c r="Y481" s="1">
        <v>4950000</v>
      </c>
      <c r="AA481" s="1">
        <v>4100000</v>
      </c>
      <c r="AB481" s="1" t="s">
        <v>311</v>
      </c>
      <c r="AC481" s="5">
        <v>44179</v>
      </c>
      <c r="AF481" s="1">
        <v>10023</v>
      </c>
      <c r="AI481" s="1" t="s">
        <v>80</v>
      </c>
      <c r="AJ481" s="1">
        <v>2019</v>
      </c>
      <c r="AK481" s="1" t="s">
        <v>55</v>
      </c>
      <c r="AL481" s="1">
        <v>14</v>
      </c>
    </row>
    <row r="482" spans="1:38" x14ac:dyDescent="0.2">
      <c r="A482" s="2" t="str">
        <f>HYPERLINK("https://www.compass.com/listing/175-west-95th-street-unit-14d-manhattan-ny-10025/99801292372780433/","175 W 95th St, Unit 14D")</f>
        <v>175 W 95th St, Unit 14D</v>
      </c>
      <c r="B482" s="2" t="str">
        <f>HYPERLINK("https://www.compass.com/building/175-w-95th-manhattan-ny/292876785429866517/","175 W 95th")</f>
        <v>175 W 95th</v>
      </c>
      <c r="C482" s="1" t="s">
        <v>47</v>
      </c>
      <c r="D482" s="1" t="s">
        <v>41</v>
      </c>
      <c r="E482" s="3">
        <v>1135000</v>
      </c>
      <c r="F482" s="1">
        <v>1603.10734463276</v>
      </c>
      <c r="G482" s="1">
        <v>4</v>
      </c>
      <c r="H482" s="1">
        <v>1</v>
      </c>
      <c r="I482" s="1">
        <v>1</v>
      </c>
      <c r="J482" s="1">
        <v>1</v>
      </c>
      <c r="K482" s="1">
        <v>1</v>
      </c>
      <c r="M482" s="1">
        <v>708</v>
      </c>
      <c r="N482" s="1">
        <v>775</v>
      </c>
      <c r="O482" s="1">
        <v>1243</v>
      </c>
      <c r="P482" s="1">
        <v>468</v>
      </c>
      <c r="Q482" s="1" t="s">
        <v>42</v>
      </c>
      <c r="S482" s="1" t="s">
        <v>42</v>
      </c>
      <c r="T482" s="1" t="s">
        <v>203</v>
      </c>
      <c r="V482" s="5">
        <v>43560</v>
      </c>
      <c r="Y482" s="1">
        <v>1111061</v>
      </c>
      <c r="Z482" s="5">
        <v>43390</v>
      </c>
      <c r="AA482" s="1">
        <v>1135000</v>
      </c>
      <c r="AB482" s="1" t="s">
        <v>312</v>
      </c>
      <c r="AC482" s="5">
        <v>43542</v>
      </c>
      <c r="AF482" s="1">
        <v>10025</v>
      </c>
      <c r="AI482" s="1" t="s">
        <v>52</v>
      </c>
      <c r="AJ482" s="1">
        <v>1971</v>
      </c>
      <c r="AK482" s="1" t="s">
        <v>81</v>
      </c>
      <c r="AL482" s="1">
        <v>226</v>
      </c>
    </row>
    <row r="483" spans="1:38" x14ac:dyDescent="0.2">
      <c r="A483" s="2" t="str">
        <f>HYPERLINK("https://www.compass.com/listing/189-avenue-c-unit-8b-manhattan-ny-10009/783593023152543289/","189 Avenue C, Unit 8B")</f>
        <v>189 Avenue C, Unit 8B</v>
      </c>
      <c r="B483" s="2" t="str">
        <f>HYPERLINK("https://www.compass.com/building/the-calyx-manhattan-ny/426959097439640773/","The Calyx")</f>
        <v>The Calyx</v>
      </c>
      <c r="C483" s="1" t="s">
        <v>88</v>
      </c>
      <c r="D483" s="1" t="s">
        <v>41</v>
      </c>
      <c r="E483" s="3">
        <v>1272813</v>
      </c>
      <c r="F483" s="1">
        <v>1131.38888888888</v>
      </c>
      <c r="G483" s="1">
        <v>4</v>
      </c>
      <c r="H483" s="1">
        <v>2</v>
      </c>
      <c r="I483" s="1">
        <v>2</v>
      </c>
      <c r="J483" s="1">
        <v>2</v>
      </c>
      <c r="K483" s="1">
        <v>2</v>
      </c>
      <c r="M483" s="4">
        <v>1125</v>
      </c>
      <c r="N483" s="1">
        <v>816</v>
      </c>
      <c r="O483" s="1">
        <v>1411</v>
      </c>
      <c r="P483" s="1">
        <v>595</v>
      </c>
      <c r="Q483" s="1" t="s">
        <v>42</v>
      </c>
      <c r="S483" s="1" t="s">
        <v>42</v>
      </c>
      <c r="T483" s="1" t="s">
        <v>203</v>
      </c>
      <c r="U483" s="1">
        <v>85</v>
      </c>
      <c r="V483" s="5">
        <v>44403</v>
      </c>
      <c r="W483" s="5">
        <v>42292</v>
      </c>
      <c r="X483" s="1">
        <v>1410000</v>
      </c>
      <c r="Y483" s="1">
        <v>1375000</v>
      </c>
      <c r="AA483" s="1">
        <v>1272812.5</v>
      </c>
      <c r="AB483" s="1" t="s">
        <v>313</v>
      </c>
      <c r="AC483" s="5">
        <v>42530</v>
      </c>
      <c r="AF483" s="1">
        <v>10009</v>
      </c>
      <c r="AI483" s="1" t="s">
        <v>73</v>
      </c>
      <c r="AJ483" s="1">
        <v>2011</v>
      </c>
      <c r="AK483" s="1" t="s">
        <v>140</v>
      </c>
      <c r="AL483" s="1">
        <v>35</v>
      </c>
    </row>
    <row r="484" spans="1:38" x14ac:dyDescent="0.2">
      <c r="A484" s="2" t="str">
        <f>HYPERLINK("https://www.compass.com/listing/324-east-4th-street-unit-1a-manhattan-ny-10009/29360859738380689/","324 E 4th St, Unit 1A")</f>
        <v>324 E 4th St, Unit 1A</v>
      </c>
      <c r="B484" s="2" t="str">
        <f t="shared" ref="B484:B485" si="76">HYPERLINK("https://www.compass.com/building/324-e-4th-st-manhattan-ny-10009/281899594583912869/","324 E 4th St")</f>
        <v>324 E 4th St</v>
      </c>
      <c r="C484" s="1" t="s">
        <v>88</v>
      </c>
      <c r="D484" s="1" t="s">
        <v>41</v>
      </c>
      <c r="E484" s="3">
        <v>1507010</v>
      </c>
      <c r="F484" s="1">
        <v>1211.4228295819901</v>
      </c>
      <c r="G484" s="1">
        <v>5</v>
      </c>
      <c r="H484" s="1">
        <v>2</v>
      </c>
      <c r="I484" s="1">
        <v>2</v>
      </c>
      <c r="J484" s="1">
        <v>2</v>
      </c>
      <c r="M484" s="4">
        <v>1244</v>
      </c>
      <c r="N484" s="1">
        <v>833</v>
      </c>
      <c r="O484" s="1">
        <v>2536</v>
      </c>
      <c r="P484" s="1">
        <v>1703</v>
      </c>
      <c r="Q484" s="1" t="s">
        <v>42</v>
      </c>
      <c r="S484" s="1" t="s">
        <v>42</v>
      </c>
      <c r="T484" s="1" t="s">
        <v>203</v>
      </c>
      <c r="U484" s="1">
        <v>79</v>
      </c>
      <c r="V484" s="5">
        <v>43673</v>
      </c>
      <c r="W484" s="5">
        <v>42418</v>
      </c>
      <c r="X484" s="1">
        <v>1550000</v>
      </c>
      <c r="Y484" s="1">
        <v>1495000</v>
      </c>
      <c r="Z484" s="5">
        <v>42497</v>
      </c>
      <c r="AA484" s="1">
        <v>1507010</v>
      </c>
      <c r="AB484" s="1" t="s">
        <v>314</v>
      </c>
      <c r="AC484" s="5">
        <v>42598</v>
      </c>
      <c r="AF484" s="1">
        <v>10009</v>
      </c>
      <c r="AI484" s="1" t="s">
        <v>315</v>
      </c>
      <c r="AJ484" s="1">
        <v>1920</v>
      </c>
      <c r="AL484" s="1">
        <v>111</v>
      </c>
    </row>
    <row r="485" spans="1:38" x14ac:dyDescent="0.2">
      <c r="A485" s="2" t="str">
        <f>HYPERLINK("https://www.compass.com/listing/324-east-4th-street-unit-2a-manhattan-ny-10009/29360860090667025/","324 E 4th St, Unit 2A")</f>
        <v>324 E 4th St, Unit 2A</v>
      </c>
      <c r="B485" s="2" t="str">
        <f t="shared" si="76"/>
        <v>324 E 4th St</v>
      </c>
      <c r="C485" s="1" t="s">
        <v>88</v>
      </c>
      <c r="D485" s="1" t="s">
        <v>41</v>
      </c>
      <c r="E485" s="3">
        <v>1395797</v>
      </c>
      <c r="F485" s="1">
        <v>1208.4822510822501</v>
      </c>
      <c r="G485" s="1">
        <v>4</v>
      </c>
      <c r="H485" s="1">
        <v>2</v>
      </c>
      <c r="I485" s="1">
        <v>2</v>
      </c>
      <c r="J485" s="1">
        <v>2</v>
      </c>
      <c r="M485" s="4">
        <v>1155</v>
      </c>
      <c r="N485" s="1">
        <v>652</v>
      </c>
      <c r="O485" s="1">
        <v>1985</v>
      </c>
      <c r="P485" s="1">
        <v>1333</v>
      </c>
      <c r="Q485" s="1" t="s">
        <v>42</v>
      </c>
      <c r="S485" s="1" t="s">
        <v>42</v>
      </c>
      <c r="T485" s="1" t="s">
        <v>203</v>
      </c>
      <c r="U485" s="1">
        <v>127</v>
      </c>
      <c r="V485" s="5">
        <v>43673</v>
      </c>
      <c r="W485" s="5">
        <v>42286</v>
      </c>
      <c r="X485" s="1">
        <v>1450000</v>
      </c>
      <c r="Y485" s="1">
        <v>1395000</v>
      </c>
      <c r="Z485" s="5">
        <v>42413</v>
      </c>
      <c r="AA485" s="1">
        <v>1395797</v>
      </c>
      <c r="AB485" s="1" t="s">
        <v>316</v>
      </c>
      <c r="AC485" s="5">
        <v>42580</v>
      </c>
      <c r="AF485" s="1">
        <v>10009</v>
      </c>
      <c r="AI485" s="1" t="s">
        <v>315</v>
      </c>
      <c r="AJ485" s="1">
        <v>1920</v>
      </c>
      <c r="AL485" s="1">
        <v>111</v>
      </c>
    </row>
    <row r="486" spans="1:38" x14ac:dyDescent="0.2">
      <c r="A486" s="2" t="str">
        <f>HYPERLINK("https://www.compass.com/listing/189-avenue-c-unit-6b-manhattan-ny-10009/29361149170494593/","189 Avenue C, Unit 6B")</f>
        <v>189 Avenue C, Unit 6B</v>
      </c>
      <c r="B486" s="2" t="str">
        <f>HYPERLINK("https://www.compass.com/building/the-calyx-manhattan-ny/426959097439640773/","The Calyx")</f>
        <v>The Calyx</v>
      </c>
      <c r="C486" s="1" t="s">
        <v>88</v>
      </c>
      <c r="D486" s="1" t="s">
        <v>41</v>
      </c>
      <c r="E486" s="3">
        <v>880000</v>
      </c>
      <c r="F486" s="1">
        <v>1031.652989449</v>
      </c>
      <c r="G486" s="1">
        <v>3</v>
      </c>
      <c r="H486" s="1">
        <v>2</v>
      </c>
      <c r="I486" s="1">
        <v>1</v>
      </c>
      <c r="J486" s="1">
        <v>1</v>
      </c>
      <c r="M486" s="1">
        <v>853</v>
      </c>
      <c r="N486" s="1">
        <v>665</v>
      </c>
      <c r="O486" s="1">
        <v>1150</v>
      </c>
      <c r="P486" s="1">
        <v>485</v>
      </c>
      <c r="Q486" s="1" t="s">
        <v>42</v>
      </c>
      <c r="S486" s="1" t="s">
        <v>42</v>
      </c>
      <c r="T486" s="1" t="s">
        <v>203</v>
      </c>
      <c r="U486" s="1">
        <v>66</v>
      </c>
      <c r="V486" s="5">
        <v>42623</v>
      </c>
      <c r="W486" s="5">
        <v>42311</v>
      </c>
      <c r="X486" s="1">
        <v>1025000</v>
      </c>
      <c r="Y486" s="1">
        <v>890000</v>
      </c>
      <c r="Z486" s="5">
        <v>42409</v>
      </c>
      <c r="AA486" s="1">
        <v>880000</v>
      </c>
      <c r="AB486" s="1" t="s">
        <v>317</v>
      </c>
      <c r="AC486" s="5">
        <v>42503</v>
      </c>
      <c r="AF486" s="1">
        <v>10009</v>
      </c>
      <c r="AI486" s="1" t="s">
        <v>73</v>
      </c>
      <c r="AJ486" s="1">
        <v>2011</v>
      </c>
      <c r="AK486" s="1" t="s">
        <v>140</v>
      </c>
      <c r="AL486" s="1">
        <v>35</v>
      </c>
    </row>
    <row r="487" spans="1:38" x14ac:dyDescent="0.2">
      <c r="A487" s="2" t="str">
        <f>HYPERLINK("https://www.compass.com/listing/324-east-4th-street-unit-6a-manhattan-ny-10009/111621966661703313/","324 E 4th St, Unit 6A")</f>
        <v>324 E 4th St, Unit 6A</v>
      </c>
      <c r="B487" s="2" t="str">
        <f>HYPERLINK("https://www.compass.com/building/324-e-4th-st-manhattan-ny-10009/281899594583912869/","324 E 4th St")</f>
        <v>324 E 4th St</v>
      </c>
      <c r="C487" s="1" t="s">
        <v>88</v>
      </c>
      <c r="D487" s="1" t="s">
        <v>41</v>
      </c>
      <c r="E487" s="3">
        <v>847000</v>
      </c>
      <c r="F487" s="1">
        <v>1400</v>
      </c>
      <c r="G487" s="1">
        <v>3</v>
      </c>
      <c r="H487" s="1">
        <v>1</v>
      </c>
      <c r="I487" s="1">
        <v>1</v>
      </c>
      <c r="J487" s="1">
        <v>1</v>
      </c>
      <c r="K487" s="1">
        <v>1</v>
      </c>
      <c r="M487" s="1">
        <v>605</v>
      </c>
      <c r="N487" s="1">
        <v>411.24</v>
      </c>
      <c r="O487" s="1">
        <v>1102.82</v>
      </c>
      <c r="P487" s="1">
        <v>691.58333333333303</v>
      </c>
      <c r="Q487" s="1" t="s">
        <v>42</v>
      </c>
      <c r="S487" s="1" t="s">
        <v>42</v>
      </c>
      <c r="T487" s="1" t="s">
        <v>203</v>
      </c>
      <c r="U487" s="1">
        <v>106</v>
      </c>
      <c r="V487" s="5">
        <v>43644</v>
      </c>
      <c r="W487" s="5">
        <v>43406</v>
      </c>
      <c r="X487" s="1">
        <v>1050000</v>
      </c>
      <c r="Y487" s="1">
        <v>899000</v>
      </c>
      <c r="Z487" s="5">
        <v>43513</v>
      </c>
      <c r="AA487" s="1">
        <v>847000</v>
      </c>
      <c r="AB487" s="1" t="s">
        <v>318</v>
      </c>
      <c r="AC487" s="5">
        <v>43551</v>
      </c>
      <c r="AF487" s="1">
        <v>10009</v>
      </c>
      <c r="AI487" s="1" t="s">
        <v>73</v>
      </c>
      <c r="AJ487" s="1">
        <v>1920</v>
      </c>
      <c r="AL487" s="1">
        <v>111</v>
      </c>
    </row>
    <row r="488" spans="1:38" x14ac:dyDescent="0.2">
      <c r="A488" s="2" t="str">
        <f>HYPERLINK("https://www.compass.com/listing/189-avenue-c-unit-4d-manhattan-ny-10009/784877161059954553/","189 Avenue C, Unit 4D")</f>
        <v>189 Avenue C, Unit 4D</v>
      </c>
      <c r="B488" s="2" t="str">
        <f t="shared" ref="B488:B489" si="77">HYPERLINK("https://www.compass.com/building/the-calyx-manhattan-ny/426959097439640773/","The Calyx")</f>
        <v>The Calyx</v>
      </c>
      <c r="C488" s="1" t="s">
        <v>88</v>
      </c>
      <c r="D488" s="1" t="s">
        <v>41</v>
      </c>
      <c r="E488" s="3">
        <v>750959</v>
      </c>
      <c r="F488" s="1">
        <v>999.94591211717704</v>
      </c>
      <c r="G488" s="1">
        <v>2</v>
      </c>
      <c r="H488" s="1">
        <v>1</v>
      </c>
      <c r="I488" s="1">
        <v>1</v>
      </c>
      <c r="J488" s="1">
        <v>1</v>
      </c>
      <c r="M488" s="1">
        <v>751</v>
      </c>
      <c r="N488" s="1">
        <v>614</v>
      </c>
      <c r="O488" s="1">
        <v>1062</v>
      </c>
      <c r="P488" s="1">
        <v>448</v>
      </c>
      <c r="Q488" s="1" t="s">
        <v>42</v>
      </c>
      <c r="S488" s="1" t="s">
        <v>42</v>
      </c>
      <c r="T488" s="1" t="s">
        <v>203</v>
      </c>
      <c r="U488" s="1">
        <v>160</v>
      </c>
      <c r="V488" s="5">
        <v>42636</v>
      </c>
      <c r="W488" s="5">
        <v>42220</v>
      </c>
      <c r="X488" s="1">
        <v>805000</v>
      </c>
      <c r="Y488" s="1">
        <v>785000</v>
      </c>
      <c r="AA488" s="1">
        <v>750959.38</v>
      </c>
      <c r="AB488" s="1" t="s">
        <v>319</v>
      </c>
      <c r="AC488" s="5">
        <v>42565</v>
      </c>
      <c r="AF488" s="1">
        <v>10009</v>
      </c>
      <c r="AI488" s="1" t="s">
        <v>320</v>
      </c>
      <c r="AJ488" s="1">
        <v>2011</v>
      </c>
      <c r="AL488" s="1">
        <v>35</v>
      </c>
    </row>
    <row r="489" spans="1:38" x14ac:dyDescent="0.2">
      <c r="A489" s="2" t="str">
        <f>HYPERLINK("https://www.compass.com/listing/189-avenue-c-unit-6e-manhattan-ny-10009/803320154406774153/","189 Avenue C, Unit 6E")</f>
        <v>189 Avenue C, Unit 6E</v>
      </c>
      <c r="B489" s="2" t="str">
        <f t="shared" si="77"/>
        <v>The Calyx</v>
      </c>
      <c r="C489" s="1" t="s">
        <v>88</v>
      </c>
      <c r="D489" s="1" t="s">
        <v>41</v>
      </c>
      <c r="E489" s="3">
        <v>850000</v>
      </c>
      <c r="F489" s="1">
        <v>1125.8278145695299</v>
      </c>
      <c r="G489" s="1">
        <v>3</v>
      </c>
      <c r="H489" s="1">
        <v>1</v>
      </c>
      <c r="I489" s="1">
        <v>1</v>
      </c>
      <c r="J489" s="1">
        <v>1</v>
      </c>
      <c r="M489" s="1">
        <v>755</v>
      </c>
      <c r="N489" s="1">
        <v>620</v>
      </c>
      <c r="O489" s="1">
        <v>1072</v>
      </c>
      <c r="P489" s="1">
        <v>452</v>
      </c>
      <c r="Q489" s="1" t="s">
        <v>42</v>
      </c>
      <c r="S489" s="1" t="s">
        <v>42</v>
      </c>
      <c r="T489" s="1" t="s">
        <v>203</v>
      </c>
      <c r="U489" s="1">
        <v>157</v>
      </c>
      <c r="V489" s="5">
        <v>42426</v>
      </c>
      <c r="W489" s="5">
        <v>42220</v>
      </c>
      <c r="X489" s="1">
        <v>950000</v>
      </c>
      <c r="Y489" s="1">
        <v>950000</v>
      </c>
      <c r="AA489" s="1">
        <v>850000</v>
      </c>
      <c r="AB489" s="1" t="s">
        <v>321</v>
      </c>
      <c r="AC489" s="5">
        <v>42495</v>
      </c>
      <c r="AF489" s="1">
        <v>10009</v>
      </c>
      <c r="AI489" s="1" t="s">
        <v>73</v>
      </c>
      <c r="AJ489" s="1">
        <v>2011</v>
      </c>
      <c r="AL489" s="1">
        <v>35</v>
      </c>
    </row>
    <row r="490" spans="1:38" x14ac:dyDescent="0.2">
      <c r="A490" s="2" t="str">
        <f>HYPERLINK("https://www.compass.com/listing/324-east-4th-street-unit-5b-manhattan-ny-10009/217171072586420897/","324 E 4th St, Unit 5B")</f>
        <v>324 E 4th St, Unit 5B</v>
      </c>
      <c r="B490" s="2" t="str">
        <f t="shared" ref="B490:B495" si="78">HYPERLINK("https://www.compass.com/building/324-e-4th-st-manhattan-ny-10009/281899594583912869/","324 E 4th St")</f>
        <v>324 E 4th St</v>
      </c>
      <c r="C490" s="1" t="s">
        <v>88</v>
      </c>
      <c r="D490" s="1" t="s">
        <v>41</v>
      </c>
      <c r="E490" s="3">
        <v>810000</v>
      </c>
      <c r="F490" s="1">
        <v>1377.55102040816</v>
      </c>
      <c r="G490" s="1">
        <v>3</v>
      </c>
      <c r="H490" s="1">
        <v>1</v>
      </c>
      <c r="I490" s="1">
        <v>1</v>
      </c>
      <c r="J490" s="1">
        <v>1</v>
      </c>
      <c r="K490" s="1">
        <v>1</v>
      </c>
      <c r="M490" s="1">
        <v>588</v>
      </c>
      <c r="N490" s="1">
        <v>462</v>
      </c>
      <c r="O490" s="1">
        <v>1148</v>
      </c>
      <c r="P490" s="1">
        <v>686</v>
      </c>
      <c r="Q490" s="1" t="s">
        <v>42</v>
      </c>
      <c r="S490" s="1" t="s">
        <v>42</v>
      </c>
      <c r="T490" s="1" t="s">
        <v>203</v>
      </c>
      <c r="U490" s="1">
        <v>124</v>
      </c>
      <c r="V490" s="5">
        <v>43738</v>
      </c>
      <c r="W490" s="5">
        <v>43552</v>
      </c>
      <c r="X490" s="1">
        <v>875000</v>
      </c>
      <c r="Y490" s="1">
        <v>825000</v>
      </c>
      <c r="Z490" s="5">
        <v>43676</v>
      </c>
      <c r="AA490" s="1">
        <v>810000</v>
      </c>
      <c r="AB490" s="1" t="s">
        <v>322</v>
      </c>
      <c r="AC490" s="5">
        <v>43728</v>
      </c>
      <c r="AF490" s="1">
        <v>10009</v>
      </c>
      <c r="AI490" s="1" t="s">
        <v>323</v>
      </c>
      <c r="AJ490" s="1">
        <v>1920</v>
      </c>
      <c r="AL490" s="1">
        <v>111</v>
      </c>
    </row>
    <row r="491" spans="1:38" x14ac:dyDescent="0.2">
      <c r="A491" s="2" t="str">
        <f>HYPERLINK("https://www.compass.com/listing/324-east-4th-street-unit-6a-manhattan-ny-10009/29360861038579745/","324 E 4th St, Unit 6A")</f>
        <v>324 E 4th St, Unit 6A</v>
      </c>
      <c r="B491" s="2" t="str">
        <f t="shared" si="78"/>
        <v>324 E 4th St</v>
      </c>
      <c r="C491" s="1" t="s">
        <v>88</v>
      </c>
      <c r="D491" s="1" t="s">
        <v>41</v>
      </c>
      <c r="E491" s="3">
        <v>800000</v>
      </c>
      <c r="F491" s="1">
        <v>1322.3140495867699</v>
      </c>
      <c r="G491" s="1">
        <v>3</v>
      </c>
      <c r="H491" s="1">
        <v>1</v>
      </c>
      <c r="I491" s="1">
        <v>1</v>
      </c>
      <c r="J491" s="1">
        <v>1</v>
      </c>
      <c r="M491" s="1">
        <v>605</v>
      </c>
      <c r="N491" s="1">
        <v>342</v>
      </c>
      <c r="O491" s="1">
        <v>1040</v>
      </c>
      <c r="P491" s="1">
        <v>698</v>
      </c>
      <c r="Q491" s="1" t="s">
        <v>42</v>
      </c>
      <c r="S491" s="1" t="s">
        <v>42</v>
      </c>
      <c r="T491" s="1" t="s">
        <v>203</v>
      </c>
      <c r="U491" s="1">
        <v>18</v>
      </c>
      <c r="V491" s="5">
        <v>43665</v>
      </c>
      <c r="W491" s="5">
        <v>42321</v>
      </c>
      <c r="X491" s="1">
        <v>809000</v>
      </c>
      <c r="Y491" s="1">
        <v>809000</v>
      </c>
      <c r="Z491" s="5">
        <v>42339</v>
      </c>
      <c r="AA491" s="1">
        <v>800000</v>
      </c>
      <c r="AB491" s="1" t="s">
        <v>324</v>
      </c>
      <c r="AC491" s="5">
        <v>42620</v>
      </c>
      <c r="AF491" s="1">
        <v>10009</v>
      </c>
      <c r="AI491" s="1" t="s">
        <v>315</v>
      </c>
      <c r="AJ491" s="1">
        <v>1920</v>
      </c>
      <c r="AL491" s="1">
        <v>111</v>
      </c>
    </row>
    <row r="492" spans="1:38" x14ac:dyDescent="0.2">
      <c r="A492" s="2" t="str">
        <f>HYPERLINK("https://www.compass.com/listing/324-east-4th-street-unit-6b-manhattan-ny-10009/29360861365775617/","324 E 4th St, Unit 6B")</f>
        <v>324 E 4th St, Unit 6B</v>
      </c>
      <c r="B492" s="2" t="str">
        <f t="shared" si="78"/>
        <v>324 E 4th St</v>
      </c>
      <c r="C492" s="1" t="s">
        <v>88</v>
      </c>
      <c r="D492" s="1" t="s">
        <v>41</v>
      </c>
      <c r="E492" s="3">
        <v>792813</v>
      </c>
      <c r="F492" s="1">
        <v>1348.32079931972</v>
      </c>
      <c r="G492" s="1">
        <v>3</v>
      </c>
      <c r="H492" s="1">
        <v>1</v>
      </c>
      <c r="I492" s="1">
        <v>1</v>
      </c>
      <c r="J492" s="1">
        <v>1</v>
      </c>
      <c r="M492" s="1">
        <v>588</v>
      </c>
      <c r="N492" s="1">
        <v>350</v>
      </c>
      <c r="O492" s="1">
        <v>1065</v>
      </c>
      <c r="P492" s="1">
        <v>715</v>
      </c>
      <c r="Q492" s="1" t="s">
        <v>42</v>
      </c>
      <c r="S492" s="1" t="s">
        <v>42</v>
      </c>
      <c r="T492" s="1" t="s">
        <v>203</v>
      </c>
      <c r="U492" s="1">
        <v>108</v>
      </c>
      <c r="V492" s="5">
        <v>42879</v>
      </c>
      <c r="W492" s="5">
        <v>42304</v>
      </c>
      <c r="X492" s="1">
        <v>819000</v>
      </c>
      <c r="Y492" s="1">
        <v>799000</v>
      </c>
      <c r="Z492" s="5">
        <v>42413</v>
      </c>
      <c r="AA492" s="1">
        <v>792812.63</v>
      </c>
      <c r="AB492" s="1" t="s">
        <v>325</v>
      </c>
      <c r="AC492" s="5">
        <v>42579</v>
      </c>
      <c r="AF492" s="1">
        <v>10009</v>
      </c>
      <c r="AI492" s="1" t="s">
        <v>132</v>
      </c>
      <c r="AJ492" s="1">
        <v>1920</v>
      </c>
      <c r="AL492" s="1">
        <v>111</v>
      </c>
    </row>
    <row r="493" spans="1:38" x14ac:dyDescent="0.2">
      <c r="A493" s="2" t="str">
        <f>HYPERLINK("https://www.compass.com/listing/324-east-4th-street-unit-3b-manhattan-ny-10009/29360860728236449/","324 E 4th St, Unit 3B")</f>
        <v>324 E 4th St, Unit 3B</v>
      </c>
      <c r="B493" s="2" t="str">
        <f t="shared" si="78"/>
        <v>324 E 4th St</v>
      </c>
      <c r="C493" s="1" t="s">
        <v>88</v>
      </c>
      <c r="D493" s="1" t="s">
        <v>41</v>
      </c>
      <c r="E493" s="3">
        <v>772852</v>
      </c>
      <c r="F493" s="1">
        <v>1314.37414965986</v>
      </c>
      <c r="G493" s="1">
        <v>3</v>
      </c>
      <c r="H493" s="1">
        <v>1</v>
      </c>
      <c r="I493" s="1">
        <v>1</v>
      </c>
      <c r="J493" s="1">
        <v>1</v>
      </c>
      <c r="M493" s="1">
        <v>588</v>
      </c>
      <c r="N493" s="1">
        <v>350</v>
      </c>
      <c r="O493" s="1">
        <v>1065</v>
      </c>
      <c r="P493" s="1">
        <v>715</v>
      </c>
      <c r="Q493" s="1" t="s">
        <v>42</v>
      </c>
      <c r="S493" s="1" t="s">
        <v>42</v>
      </c>
      <c r="T493" s="1" t="s">
        <v>203</v>
      </c>
      <c r="U493" s="1">
        <v>9</v>
      </c>
      <c r="V493" s="5">
        <v>43673</v>
      </c>
      <c r="W493" s="5">
        <v>42299</v>
      </c>
      <c r="X493" s="1">
        <v>759000</v>
      </c>
      <c r="Y493" s="1">
        <v>759000</v>
      </c>
      <c r="Z493" s="5">
        <v>42308</v>
      </c>
      <c r="AA493" s="1">
        <v>772852</v>
      </c>
      <c r="AB493" s="1" t="s">
        <v>326</v>
      </c>
      <c r="AC493" s="5">
        <v>42626</v>
      </c>
      <c r="AF493" s="1">
        <v>10009</v>
      </c>
      <c r="AI493" s="1" t="s">
        <v>132</v>
      </c>
      <c r="AJ493" s="1">
        <v>1920</v>
      </c>
      <c r="AL493" s="1">
        <v>111</v>
      </c>
    </row>
    <row r="494" spans="1:38" x14ac:dyDescent="0.2">
      <c r="A494" s="2" t="str">
        <f>HYPERLINK("https://www.compass.com/listing/324-east-4th-street-unit-ph-manhattan-ny-10009/699911402585735049/","324 E 4th St, Unit PH")</f>
        <v>324 E 4th St, Unit PH</v>
      </c>
      <c r="B494" s="2" t="str">
        <f t="shared" si="78"/>
        <v>324 E 4th St</v>
      </c>
      <c r="C494" s="1" t="s">
        <v>88</v>
      </c>
      <c r="D494" s="1" t="s">
        <v>41</v>
      </c>
      <c r="E494" s="3">
        <v>2072500</v>
      </c>
      <c r="F494" s="1">
        <v>1325.97568777991</v>
      </c>
      <c r="G494" s="1">
        <v>5.5</v>
      </c>
      <c r="H494" s="1">
        <v>3</v>
      </c>
      <c r="I494" s="1">
        <v>3</v>
      </c>
      <c r="J494" s="1">
        <v>2.5</v>
      </c>
      <c r="K494" s="1">
        <v>2</v>
      </c>
      <c r="L494" s="1">
        <v>1</v>
      </c>
      <c r="M494" s="4">
        <v>1563</v>
      </c>
      <c r="N494" s="1">
        <v>1266</v>
      </c>
      <c r="O494" s="1">
        <v>3169</v>
      </c>
      <c r="P494" s="1">
        <v>1903</v>
      </c>
      <c r="Q494" s="1" t="s">
        <v>42</v>
      </c>
      <c r="S494" s="1" t="s">
        <v>42</v>
      </c>
      <c r="T494" s="1" t="s">
        <v>203</v>
      </c>
      <c r="U494" s="1">
        <v>76</v>
      </c>
      <c r="V494" s="5">
        <v>44406</v>
      </c>
      <c r="W494" s="5">
        <v>44217</v>
      </c>
      <c r="X494" s="1">
        <v>2495000</v>
      </c>
      <c r="Y494" s="1">
        <v>2495000</v>
      </c>
      <c r="Z494" s="5">
        <v>44294</v>
      </c>
      <c r="AA494" s="1">
        <v>2072500</v>
      </c>
      <c r="AB494" s="1" t="s">
        <v>327</v>
      </c>
      <c r="AC494" s="5">
        <v>44403</v>
      </c>
      <c r="AF494" s="1">
        <v>10009</v>
      </c>
      <c r="AI494" s="1" t="s">
        <v>328</v>
      </c>
      <c r="AJ494" s="1">
        <v>1920</v>
      </c>
      <c r="AL494" s="1">
        <v>111</v>
      </c>
    </row>
    <row r="495" spans="1:38" x14ac:dyDescent="0.2">
      <c r="A495" s="2" t="str">
        <f>HYPERLINK("https://www.compass.com/listing/324-east-4th-street-unit-ph-manhattan-ny-10009/29360861684537777/","324 E 4th St, Unit PH")</f>
        <v>324 E 4th St, Unit PH</v>
      </c>
      <c r="B495" s="2" t="str">
        <f t="shared" si="78"/>
        <v>324 E 4th St</v>
      </c>
      <c r="C495" s="1" t="s">
        <v>88</v>
      </c>
      <c r="D495" s="1" t="s">
        <v>41</v>
      </c>
      <c r="E495" s="3">
        <v>2295759</v>
      </c>
      <c r="F495" s="1">
        <v>1468.8157389635301</v>
      </c>
      <c r="G495" s="1">
        <v>6</v>
      </c>
      <c r="H495" s="1">
        <v>3</v>
      </c>
      <c r="I495" s="1">
        <v>3</v>
      </c>
      <c r="J495" s="1">
        <v>2.5</v>
      </c>
      <c r="M495" s="4">
        <v>1563</v>
      </c>
      <c r="N495" s="1">
        <v>959</v>
      </c>
      <c r="O495" s="1">
        <v>2922</v>
      </c>
      <c r="P495" s="1">
        <v>1963</v>
      </c>
      <c r="Q495" s="1" t="s">
        <v>42</v>
      </c>
      <c r="S495" s="1" t="s">
        <v>42</v>
      </c>
      <c r="T495" s="1" t="s">
        <v>203</v>
      </c>
      <c r="V495" s="5">
        <v>43673</v>
      </c>
      <c r="W495" s="5">
        <v>42497</v>
      </c>
      <c r="X495" s="1">
        <v>2499000</v>
      </c>
      <c r="Y495" s="1">
        <v>2499000</v>
      </c>
      <c r="Z495" s="5">
        <v>42497</v>
      </c>
      <c r="AA495" s="1">
        <v>2295759</v>
      </c>
      <c r="AB495" s="1" t="s">
        <v>329</v>
      </c>
      <c r="AC495" s="5">
        <v>42615</v>
      </c>
      <c r="AF495" s="1">
        <v>10009</v>
      </c>
      <c r="AI495" s="1" t="s">
        <v>330</v>
      </c>
      <c r="AJ495" s="1">
        <v>1920</v>
      </c>
      <c r="AL495" s="1">
        <v>111</v>
      </c>
    </row>
    <row r="496" spans="1:38" x14ac:dyDescent="0.2">
      <c r="A496" s="2" t="str">
        <f>HYPERLINK("https://www.compass.com/listing/509-east-6th-street-unit-3r-manhattan-ny-10009/29361256083346817/","509 E 6th St, Unit 3R")</f>
        <v>509 E 6th St, Unit 3R</v>
      </c>
      <c r="B496" s="2" t="str">
        <f>HYPERLINK("https://www.compass.com/building/the-tortola-condominium-manhattan-ny/281900474909603893/","The Tortola Condominium")</f>
        <v>The Tortola Condominium</v>
      </c>
      <c r="C496" s="1" t="s">
        <v>88</v>
      </c>
      <c r="D496" s="1" t="s">
        <v>41</v>
      </c>
      <c r="E496" s="3">
        <v>842619</v>
      </c>
      <c r="F496" s="1">
        <v>1320.71943573667</v>
      </c>
      <c r="G496" s="1">
        <v>2</v>
      </c>
      <c r="H496" s="1" t="s">
        <v>77</v>
      </c>
      <c r="I496" s="1">
        <v>1</v>
      </c>
      <c r="J496" s="1">
        <v>1</v>
      </c>
      <c r="M496" s="1">
        <v>638</v>
      </c>
      <c r="N496" s="1">
        <v>474</v>
      </c>
      <c r="O496" s="1">
        <v>1164</v>
      </c>
      <c r="P496" s="1">
        <v>690</v>
      </c>
      <c r="Q496" s="1" t="s">
        <v>42</v>
      </c>
      <c r="S496" s="1" t="s">
        <v>42</v>
      </c>
      <c r="T496" s="1" t="s">
        <v>203</v>
      </c>
      <c r="U496" s="1">
        <v>70</v>
      </c>
      <c r="V496" s="5">
        <v>43679</v>
      </c>
      <c r="W496" s="5">
        <v>42054</v>
      </c>
      <c r="X496" s="1">
        <v>890000</v>
      </c>
      <c r="Y496" s="1">
        <v>845000</v>
      </c>
      <c r="Z496" s="5">
        <v>42124</v>
      </c>
      <c r="AA496" s="1">
        <v>842619</v>
      </c>
      <c r="AB496" s="1" t="s">
        <v>331</v>
      </c>
      <c r="AC496" s="5">
        <v>42374</v>
      </c>
      <c r="AF496" s="1">
        <v>10009</v>
      </c>
      <c r="AJ496" s="1">
        <v>1920</v>
      </c>
      <c r="AL496" s="1">
        <v>8</v>
      </c>
    </row>
    <row r="497" spans="1:38" x14ac:dyDescent="0.2">
      <c r="A497" s="2" t="str">
        <f>HYPERLINK("https://www.compass.com/listing/175-west-95th-street-unit-20g-manhattan-ny-10025/29514269351505713/","175 W 95th St, Unit 20G")</f>
        <v>175 W 95th St, Unit 20G</v>
      </c>
      <c r="B497" s="2" t="str">
        <f>HYPERLINK("https://www.compass.com/building/175-w-95th-manhattan-ny/292876785429866517/","175 W 95th")</f>
        <v>175 W 95th</v>
      </c>
      <c r="C497" s="1" t="s">
        <v>47</v>
      </c>
      <c r="D497" s="1" t="s">
        <v>41</v>
      </c>
      <c r="E497" s="3">
        <v>1570000</v>
      </c>
      <c r="F497" s="1">
        <v>1632.01663201663</v>
      </c>
      <c r="G497" s="1">
        <v>4</v>
      </c>
      <c r="H497" s="1">
        <v>2</v>
      </c>
      <c r="I497" s="1">
        <v>2</v>
      </c>
      <c r="J497" s="1">
        <v>2</v>
      </c>
      <c r="K497" s="1">
        <v>2</v>
      </c>
      <c r="M497" s="1">
        <v>962</v>
      </c>
      <c r="N497" s="1">
        <v>1064</v>
      </c>
      <c r="O497" s="1">
        <v>1851</v>
      </c>
      <c r="P497" s="1">
        <v>787</v>
      </c>
      <c r="Q497" s="1" t="s">
        <v>42</v>
      </c>
      <c r="S497" s="1" t="s">
        <v>42</v>
      </c>
      <c r="T497" s="1" t="s">
        <v>203</v>
      </c>
      <c r="U497" s="1">
        <v>188</v>
      </c>
      <c r="V497" s="5">
        <v>43644</v>
      </c>
      <c r="W497" s="5">
        <v>43267</v>
      </c>
      <c r="X497" s="1">
        <v>1750000</v>
      </c>
      <c r="Y497" s="1">
        <v>1595000</v>
      </c>
      <c r="Z497" s="5">
        <v>43455</v>
      </c>
      <c r="AA497" s="1">
        <v>1570000</v>
      </c>
      <c r="AB497" s="1" t="s">
        <v>332</v>
      </c>
      <c r="AC497" s="5">
        <v>43524</v>
      </c>
      <c r="AF497" s="1">
        <v>10025</v>
      </c>
      <c r="AI497" s="1" t="s">
        <v>100</v>
      </c>
      <c r="AJ497" s="1">
        <v>1971</v>
      </c>
      <c r="AK497" s="1" t="s">
        <v>81</v>
      </c>
      <c r="AL497" s="1">
        <v>226</v>
      </c>
    </row>
    <row r="498" spans="1:38" x14ac:dyDescent="0.2">
      <c r="A498" s="2" t="str">
        <f>HYPERLINK("https://www.compass.com/listing/30-park-place-unit-39j-manhattan-ny-10007/775551705452595081/","30 Park Pl, Unit 39J")</f>
        <v>30 Park Pl, Unit 39J</v>
      </c>
      <c r="B498" s="2" t="str">
        <f t="shared" ref="B498:B500" si="79">HYPERLINK("https://www.compass.com/building/30-park-pl-manhattan-ny-10007/281896912905317605/","30 Park Pl")</f>
        <v>30 Park Pl</v>
      </c>
      <c r="C498" s="1" t="s">
        <v>40</v>
      </c>
      <c r="D498" s="1" t="s">
        <v>41</v>
      </c>
      <c r="E498" s="3">
        <v>2875000</v>
      </c>
      <c r="F498" s="1">
        <v>2213.2409545804398</v>
      </c>
      <c r="G498" s="1">
        <v>4</v>
      </c>
      <c r="H498" s="1">
        <v>2</v>
      </c>
      <c r="I498" s="1">
        <v>2</v>
      </c>
      <c r="J498" s="1">
        <v>2</v>
      </c>
      <c r="K498" s="1">
        <v>2</v>
      </c>
      <c r="M498" s="4">
        <v>1299</v>
      </c>
      <c r="N498" s="1">
        <v>1102</v>
      </c>
      <c r="O498" s="1">
        <v>3804</v>
      </c>
      <c r="P498" s="1">
        <v>2702</v>
      </c>
      <c r="Q498" s="1" t="s">
        <v>42</v>
      </c>
      <c r="S498" s="1" t="s">
        <v>42</v>
      </c>
      <c r="T498" s="1" t="s">
        <v>203</v>
      </c>
      <c r="U498" s="1">
        <v>50</v>
      </c>
      <c r="V498" s="5">
        <v>44406</v>
      </c>
      <c r="W498" s="5">
        <v>44321</v>
      </c>
      <c r="X498" s="1">
        <v>2900000</v>
      </c>
      <c r="Y498" s="1">
        <v>2900000</v>
      </c>
      <c r="Z498" s="5">
        <v>44372</v>
      </c>
      <c r="AA498" s="1">
        <v>2875000</v>
      </c>
      <c r="AB498" s="1" t="s">
        <v>204</v>
      </c>
      <c r="AC498" s="5">
        <v>44404</v>
      </c>
      <c r="AF498" s="1">
        <v>10007</v>
      </c>
      <c r="AI498" s="1" t="s">
        <v>58</v>
      </c>
      <c r="AJ498" s="1">
        <v>2016</v>
      </c>
      <c r="AK498" s="1" t="s">
        <v>81</v>
      </c>
      <c r="AL498" s="1">
        <v>157</v>
      </c>
    </row>
    <row r="499" spans="1:38" x14ac:dyDescent="0.2">
      <c r="A499" s="2" t="str">
        <f>HYPERLINK("https://www.compass.com/listing/30-park-place-unit-53d-manhattan-ny-10007/4848422383389771793/","30 Park Pl, Unit 53D")</f>
        <v>30 Park Pl, Unit 53D</v>
      </c>
      <c r="B499" s="2" t="str">
        <f t="shared" si="79"/>
        <v>30 Park Pl</v>
      </c>
      <c r="C499" s="1" t="s">
        <v>40</v>
      </c>
      <c r="D499" s="1" t="s">
        <v>41</v>
      </c>
      <c r="E499" s="3">
        <v>4075000</v>
      </c>
      <c r="F499" s="1">
        <v>2649.5448634590298</v>
      </c>
      <c r="G499" s="1">
        <v>5</v>
      </c>
      <c r="H499" s="1">
        <v>2</v>
      </c>
      <c r="J499" s="1">
        <v>2.5</v>
      </c>
      <c r="M499" s="4">
        <v>1538</v>
      </c>
      <c r="N499" s="1">
        <v>1260</v>
      </c>
      <c r="O499" s="1">
        <v>4479</v>
      </c>
      <c r="P499" s="1">
        <v>3219</v>
      </c>
      <c r="Q499" s="1" t="s">
        <v>42</v>
      </c>
      <c r="S499" s="1" t="s">
        <v>42</v>
      </c>
      <c r="T499" s="1" t="s">
        <v>203</v>
      </c>
      <c r="U499" s="1">
        <v>85</v>
      </c>
      <c r="V499" s="5">
        <v>44248</v>
      </c>
      <c r="W499" s="5">
        <v>43189</v>
      </c>
      <c r="X499" s="1">
        <v>4425000</v>
      </c>
      <c r="Y499" s="1">
        <v>4425000</v>
      </c>
      <c r="Z499" s="5">
        <v>43274</v>
      </c>
      <c r="AA499" s="1">
        <v>4075000</v>
      </c>
      <c r="AB499" s="1" t="s">
        <v>333</v>
      </c>
      <c r="AC499" s="5">
        <v>43318</v>
      </c>
      <c r="AF499" s="1">
        <v>10007</v>
      </c>
      <c r="AJ499" s="1">
        <v>2016</v>
      </c>
      <c r="AK499" s="1" t="s">
        <v>50</v>
      </c>
      <c r="AL499" s="1">
        <v>157</v>
      </c>
    </row>
    <row r="500" spans="1:38" x14ac:dyDescent="0.2">
      <c r="A500" s="2" t="str">
        <f>HYPERLINK("https://www.compass.com/listing/30-park-place-unit-40e-manhattan-ny-10007/353581928398921393/","30 Park Pl, Unit 40E")</f>
        <v>30 Park Pl, Unit 40E</v>
      </c>
      <c r="B500" s="2" t="str">
        <f t="shared" si="79"/>
        <v>30 Park Pl</v>
      </c>
      <c r="C500" s="1" t="s">
        <v>40</v>
      </c>
      <c r="D500" s="1" t="s">
        <v>41</v>
      </c>
      <c r="E500" s="3">
        <v>3800000</v>
      </c>
      <c r="F500" s="1">
        <v>2118.17168338907</v>
      </c>
      <c r="G500" s="1">
        <v>5</v>
      </c>
      <c r="H500" s="1">
        <v>3</v>
      </c>
      <c r="I500" s="1">
        <v>3</v>
      </c>
      <c r="J500" s="1">
        <v>2.5</v>
      </c>
      <c r="K500" s="1">
        <v>2</v>
      </c>
      <c r="L500" s="1">
        <v>1</v>
      </c>
      <c r="M500" s="4">
        <v>1794</v>
      </c>
      <c r="N500" s="1">
        <v>1549.82</v>
      </c>
      <c r="O500" s="1">
        <v>5440.82</v>
      </c>
      <c r="P500" s="1">
        <v>3891</v>
      </c>
      <c r="Q500" s="1" t="s">
        <v>42</v>
      </c>
      <c r="S500" s="1" t="s">
        <v>42</v>
      </c>
      <c r="T500" s="1" t="s">
        <v>203</v>
      </c>
      <c r="U500" s="1">
        <v>171</v>
      </c>
      <c r="V500" s="5">
        <v>44072</v>
      </c>
      <c r="W500" s="5">
        <v>43739</v>
      </c>
      <c r="X500" s="1">
        <v>4985000</v>
      </c>
      <c r="Y500" s="1">
        <v>4395000</v>
      </c>
      <c r="Z500" s="5">
        <v>43946</v>
      </c>
      <c r="AA500" s="1">
        <v>3800000</v>
      </c>
      <c r="AB500" s="1" t="s">
        <v>334</v>
      </c>
      <c r="AC500" s="5">
        <v>44011</v>
      </c>
      <c r="AF500" s="1">
        <v>10007</v>
      </c>
      <c r="AI500" s="1" t="s">
        <v>58</v>
      </c>
      <c r="AJ500" s="1">
        <v>2016</v>
      </c>
      <c r="AK500" s="1" t="s">
        <v>81</v>
      </c>
      <c r="AL500" s="1">
        <v>157</v>
      </c>
    </row>
    <row r="501" spans="1:38" x14ac:dyDescent="0.2">
      <c r="A501" s="2" t="str">
        <f>HYPERLINK("https://www.compass.com/listing/189-avenue-c-unit-8e-manhattan-ny-10009/29361151485790657/","189 Avenue C, Unit 8E")</f>
        <v>189 Avenue C, Unit 8E</v>
      </c>
      <c r="B501" s="2" t="str">
        <f t="shared" ref="B501:B505" si="80">HYPERLINK("https://www.compass.com/building/the-calyx-manhattan-ny/426959097439640773/","The Calyx")</f>
        <v>The Calyx</v>
      </c>
      <c r="C501" s="1" t="s">
        <v>88</v>
      </c>
      <c r="D501" s="1" t="s">
        <v>41</v>
      </c>
      <c r="E501" s="3">
        <v>1300000</v>
      </c>
      <c r="G501" s="1">
        <v>4</v>
      </c>
      <c r="H501" s="1">
        <v>2</v>
      </c>
      <c r="I501" s="1">
        <v>2</v>
      </c>
      <c r="J501" s="1">
        <v>2</v>
      </c>
      <c r="K501" s="1">
        <v>2</v>
      </c>
      <c r="N501" s="1">
        <v>1026.27</v>
      </c>
      <c r="O501" s="1">
        <v>1661.56</v>
      </c>
      <c r="P501" s="1">
        <v>635.25</v>
      </c>
      <c r="Q501" s="1" t="s">
        <v>335</v>
      </c>
      <c r="S501" s="1" t="s">
        <v>336</v>
      </c>
      <c r="T501" s="1" t="s">
        <v>203</v>
      </c>
      <c r="U501" s="1">
        <v>100</v>
      </c>
      <c r="V501" s="5">
        <v>43631</v>
      </c>
      <c r="W501" s="5">
        <v>42622</v>
      </c>
      <c r="X501" s="1">
        <v>1375000</v>
      </c>
      <c r="Y501" s="1">
        <v>1375000</v>
      </c>
      <c r="Z501" s="5">
        <v>42722</v>
      </c>
      <c r="AA501" s="1">
        <v>1300000</v>
      </c>
      <c r="AB501" s="1" t="s">
        <v>337</v>
      </c>
      <c r="AC501" s="5">
        <v>42727</v>
      </c>
      <c r="AF501" s="1">
        <v>10009</v>
      </c>
      <c r="AI501" s="1" t="s">
        <v>73</v>
      </c>
      <c r="AJ501" s="1">
        <v>2011</v>
      </c>
      <c r="AK501" s="1" t="s">
        <v>140</v>
      </c>
      <c r="AL501" s="1">
        <v>35</v>
      </c>
    </row>
    <row r="502" spans="1:38" x14ac:dyDescent="0.2">
      <c r="A502" s="2" t="str">
        <f>HYPERLINK("https://www.compass.com/listing/189-avenue-c-unit-9b-manhattan-ny-10009/29513379320201441/","189 Avenue C, Unit 9B")</f>
        <v>189 Avenue C, Unit 9B</v>
      </c>
      <c r="B502" s="2" t="str">
        <f t="shared" si="80"/>
        <v>The Calyx</v>
      </c>
      <c r="C502" s="1" t="s">
        <v>88</v>
      </c>
      <c r="D502" s="1" t="s">
        <v>41</v>
      </c>
      <c r="E502" s="3">
        <v>1270000</v>
      </c>
      <c r="F502" s="1">
        <v>1125.88652482269</v>
      </c>
      <c r="G502" s="1">
        <v>4</v>
      </c>
      <c r="H502" s="1">
        <v>2</v>
      </c>
      <c r="I502" s="1">
        <v>2</v>
      </c>
      <c r="J502" s="1">
        <v>2</v>
      </c>
      <c r="K502" s="1">
        <v>2</v>
      </c>
      <c r="M502" s="4">
        <v>1128</v>
      </c>
      <c r="N502" s="1">
        <v>921</v>
      </c>
      <c r="O502" s="1">
        <v>1919</v>
      </c>
      <c r="P502" s="1">
        <v>998</v>
      </c>
      <c r="Q502" s="1" t="s">
        <v>42</v>
      </c>
      <c r="S502" s="1" t="s">
        <v>42</v>
      </c>
      <c r="T502" s="1" t="s">
        <v>203</v>
      </c>
      <c r="U502" s="1">
        <v>166</v>
      </c>
      <c r="V502" s="5">
        <v>43851</v>
      </c>
      <c r="W502" s="5">
        <v>43161</v>
      </c>
      <c r="X502" s="1">
        <v>1350000</v>
      </c>
      <c r="Y502" s="1">
        <v>1350000</v>
      </c>
      <c r="Z502" s="5">
        <v>43327</v>
      </c>
      <c r="AA502" s="1">
        <v>1270000</v>
      </c>
      <c r="AB502" s="1" t="s">
        <v>338</v>
      </c>
      <c r="AC502" s="5">
        <v>43434</v>
      </c>
      <c r="AF502" s="1">
        <v>10009</v>
      </c>
      <c r="AI502" s="1" t="s">
        <v>315</v>
      </c>
      <c r="AJ502" s="1">
        <v>2011</v>
      </c>
      <c r="AK502" s="1" t="s">
        <v>178</v>
      </c>
      <c r="AL502" s="1">
        <v>35</v>
      </c>
    </row>
    <row r="503" spans="1:38" x14ac:dyDescent="0.2">
      <c r="A503" s="2" t="str">
        <f>HYPERLINK("https://www.compass.com/listing/189-avenue-c-unit-8b-manhattan-ny-10009/181048299518815153/","189 Avenue C, Unit 8B")</f>
        <v>189 Avenue C, Unit 8B</v>
      </c>
      <c r="B503" s="2" t="str">
        <f t="shared" si="80"/>
        <v>The Calyx</v>
      </c>
      <c r="C503" s="1" t="s">
        <v>88</v>
      </c>
      <c r="D503" s="1" t="s">
        <v>41</v>
      </c>
      <c r="E503" s="3">
        <v>1272813</v>
      </c>
      <c r="F503" s="1">
        <v>1132.3959074733</v>
      </c>
      <c r="G503" s="1">
        <v>4</v>
      </c>
      <c r="H503" s="1">
        <v>2</v>
      </c>
      <c r="I503" s="1">
        <v>2</v>
      </c>
      <c r="J503" s="1">
        <v>2</v>
      </c>
      <c r="K503" s="1">
        <v>2</v>
      </c>
      <c r="M503" s="4">
        <v>1124</v>
      </c>
      <c r="N503" s="1">
        <v>816.67</v>
      </c>
      <c r="O503" s="1">
        <v>1412.1799999999901</v>
      </c>
      <c r="P503" s="1">
        <v>595.5</v>
      </c>
      <c r="Q503" s="1" t="s">
        <v>339</v>
      </c>
      <c r="S503" s="1" t="s">
        <v>340</v>
      </c>
      <c r="T503" s="1" t="s">
        <v>203</v>
      </c>
      <c r="U503" s="1">
        <v>19</v>
      </c>
      <c r="V503" s="5">
        <v>43676</v>
      </c>
      <c r="W503" s="5">
        <v>42404</v>
      </c>
      <c r="X503" s="1">
        <v>1325000</v>
      </c>
      <c r="Y503" s="1">
        <v>1325000</v>
      </c>
      <c r="Z503" s="5">
        <v>42423</v>
      </c>
      <c r="AA503" s="1">
        <v>1272813</v>
      </c>
      <c r="AB503" s="1" t="s">
        <v>313</v>
      </c>
      <c r="AC503" s="5">
        <v>42531</v>
      </c>
      <c r="AF503" s="1">
        <v>10009</v>
      </c>
      <c r="AI503" s="1" t="s">
        <v>73</v>
      </c>
      <c r="AJ503" s="1">
        <v>2011</v>
      </c>
      <c r="AK503" s="1" t="s">
        <v>341</v>
      </c>
      <c r="AL503" s="1">
        <v>35</v>
      </c>
    </row>
    <row r="504" spans="1:38" x14ac:dyDescent="0.2">
      <c r="A504" s="2" t="str">
        <f>HYPERLINK("https://www.compass.com/listing/189-avenue-c-unit-7b-manhattan-ny-10009/29361150219070609/","189 Avenue C, Unit 7B")</f>
        <v>189 Avenue C, Unit 7B</v>
      </c>
      <c r="B504" s="2" t="str">
        <f t="shared" si="80"/>
        <v>The Calyx</v>
      </c>
      <c r="C504" s="1" t="s">
        <v>88</v>
      </c>
      <c r="D504" s="1" t="s">
        <v>41</v>
      </c>
      <c r="E504" s="3">
        <v>1377456</v>
      </c>
      <c r="F504" s="1">
        <v>1225.4946619217001</v>
      </c>
      <c r="G504" s="1">
        <v>4</v>
      </c>
      <c r="H504" s="1">
        <v>2</v>
      </c>
      <c r="I504" s="1">
        <v>2</v>
      </c>
      <c r="J504" s="1">
        <v>2</v>
      </c>
      <c r="K504" s="1">
        <v>2</v>
      </c>
      <c r="M504" s="4">
        <v>1124</v>
      </c>
      <c r="N504" s="1">
        <v>816.67</v>
      </c>
      <c r="O504" s="1">
        <v>1412.1799999999901</v>
      </c>
      <c r="P504" s="1">
        <v>595.5</v>
      </c>
      <c r="Q504" s="1" t="s">
        <v>335</v>
      </c>
      <c r="S504" s="1" t="s">
        <v>336</v>
      </c>
      <c r="T504" s="1" t="s">
        <v>203</v>
      </c>
      <c r="U504" s="1">
        <v>87</v>
      </c>
      <c r="V504" s="5">
        <v>43636</v>
      </c>
      <c r="W504" s="5">
        <v>42404</v>
      </c>
      <c r="X504" s="1">
        <v>1450000</v>
      </c>
      <c r="Y504" s="1">
        <v>1395000</v>
      </c>
      <c r="Z504" s="5">
        <v>42491</v>
      </c>
      <c r="AA504" s="1">
        <v>1377456</v>
      </c>
      <c r="AB504" s="1" t="s">
        <v>342</v>
      </c>
      <c r="AC504" s="5">
        <v>42552</v>
      </c>
      <c r="AF504" s="1">
        <v>10009</v>
      </c>
      <c r="AI504" s="1" t="s">
        <v>320</v>
      </c>
      <c r="AJ504" s="1">
        <v>2011</v>
      </c>
      <c r="AK504" s="1" t="s">
        <v>140</v>
      </c>
      <c r="AL504" s="1">
        <v>35</v>
      </c>
    </row>
    <row r="505" spans="1:38" x14ac:dyDescent="0.2">
      <c r="A505" s="2" t="str">
        <f>HYPERLINK("https://www.compass.com/listing/189-avenue-c-unit-7e-manhattan-ny-10009/803310775430630937/","189 Avenue C, Unit 7E")</f>
        <v>189 Avenue C, Unit 7E</v>
      </c>
      <c r="B505" s="2" t="str">
        <f t="shared" si="80"/>
        <v>The Calyx</v>
      </c>
      <c r="C505" s="1" t="s">
        <v>88</v>
      </c>
      <c r="D505" s="1" t="s">
        <v>41</v>
      </c>
      <c r="E505" s="3">
        <v>1476463</v>
      </c>
      <c r="F505" s="1">
        <v>1308.9206560283601</v>
      </c>
      <c r="G505" s="1">
        <v>4</v>
      </c>
      <c r="H505" s="1">
        <v>2</v>
      </c>
      <c r="I505" s="1">
        <v>2</v>
      </c>
      <c r="J505" s="1">
        <v>2</v>
      </c>
      <c r="K505" s="1">
        <v>2</v>
      </c>
      <c r="M505" s="4">
        <v>1128</v>
      </c>
      <c r="N505" s="1">
        <v>1026</v>
      </c>
      <c r="O505" s="1">
        <v>1982</v>
      </c>
      <c r="P505" s="1">
        <v>956</v>
      </c>
      <c r="Q505" s="1" t="s">
        <v>335</v>
      </c>
      <c r="S505" s="1" t="s">
        <v>336</v>
      </c>
      <c r="T505" s="1" t="s">
        <v>203</v>
      </c>
      <c r="U505" s="1">
        <v>228</v>
      </c>
      <c r="V505" s="5">
        <v>42903</v>
      </c>
      <c r="W505" s="5">
        <v>42621</v>
      </c>
      <c r="X505" s="1">
        <v>1525000</v>
      </c>
      <c r="Y505" s="1">
        <v>1450000</v>
      </c>
      <c r="AA505" s="1">
        <v>1476462.5</v>
      </c>
      <c r="AB505" s="1" t="s">
        <v>343</v>
      </c>
      <c r="AC505" s="5">
        <v>42993</v>
      </c>
      <c r="AF505" s="1">
        <v>10009</v>
      </c>
      <c r="AI505" s="1" t="s">
        <v>344</v>
      </c>
      <c r="AJ505" s="1">
        <v>2011</v>
      </c>
      <c r="AK505" s="1" t="s">
        <v>140</v>
      </c>
      <c r="AL505" s="1">
        <v>35</v>
      </c>
    </row>
    <row r="506" spans="1:38" x14ac:dyDescent="0.2">
      <c r="A506" s="2" t="str">
        <f>HYPERLINK("https://www.compass.com/listing/509-east-6th-street-unit-4f-manhattan-ny-10009/652644461265131209/","509 E 6th St, Unit 4F")</f>
        <v>509 E 6th St, Unit 4F</v>
      </c>
      <c r="B506" s="2" t="str">
        <f>HYPERLINK("https://www.compass.com/building/the-tortola-condominium-manhattan-ny/281900474909603893/","The Tortola Condominium")</f>
        <v>The Tortola Condominium</v>
      </c>
      <c r="C506" s="1" t="s">
        <v>88</v>
      </c>
      <c r="D506" s="1" t="s">
        <v>41</v>
      </c>
      <c r="E506" s="3">
        <v>735000</v>
      </c>
      <c r="F506" s="1">
        <v>1197.0684039087901</v>
      </c>
      <c r="G506" s="1">
        <v>3</v>
      </c>
      <c r="H506" s="1">
        <v>1</v>
      </c>
      <c r="I506" s="1">
        <v>1</v>
      </c>
      <c r="J506" s="1">
        <v>1</v>
      </c>
      <c r="K506" s="1">
        <v>1</v>
      </c>
      <c r="M506" s="1">
        <v>614</v>
      </c>
      <c r="N506" s="1">
        <v>568</v>
      </c>
      <c r="O506" s="1">
        <v>1515</v>
      </c>
      <c r="P506" s="1">
        <v>947</v>
      </c>
      <c r="Q506" s="1" t="s">
        <v>42</v>
      </c>
      <c r="S506" s="1" t="s">
        <v>345</v>
      </c>
      <c r="T506" s="1" t="s">
        <v>203</v>
      </c>
      <c r="U506" s="1">
        <v>158</v>
      </c>
      <c r="V506" s="5">
        <v>44419</v>
      </c>
      <c r="W506" s="5">
        <v>44152</v>
      </c>
      <c r="X506" s="1">
        <v>775000</v>
      </c>
      <c r="Y506" s="1">
        <v>775000</v>
      </c>
      <c r="Z506" s="5">
        <v>44310</v>
      </c>
      <c r="AA506" s="1">
        <v>735000</v>
      </c>
      <c r="AB506" s="1" t="s">
        <v>215</v>
      </c>
      <c r="AC506" s="5">
        <v>44406</v>
      </c>
      <c r="AF506" s="1">
        <v>10009</v>
      </c>
      <c r="AJ506" s="1">
        <v>1920</v>
      </c>
      <c r="AL506" s="1">
        <v>8</v>
      </c>
    </row>
    <row r="507" spans="1:38" x14ac:dyDescent="0.2">
      <c r="A507" s="2" t="str">
        <f>HYPERLINK("https://www.compass.com/listing/952-columbus-avenue-unit-6b-manhattan-ny-10025/293508254061822177/","952 Columbus Ave, Unit 6B")</f>
        <v>952 Columbus Ave, Unit 6B</v>
      </c>
      <c r="B507" s="2" t="str">
        <f>HYPERLINK("https://www.compass.com/building/952-columbus-ave-manhattan-ny-10025/281973617187710805/","952 Columbus Ave")</f>
        <v>952 Columbus Ave</v>
      </c>
      <c r="C507" s="1" t="s">
        <v>47</v>
      </c>
      <c r="D507" s="1" t="s">
        <v>41</v>
      </c>
      <c r="E507" s="3">
        <v>1520000</v>
      </c>
      <c r="F507" s="1">
        <v>1162.07951070336</v>
      </c>
      <c r="G507" s="1">
        <v>4</v>
      </c>
      <c r="H507" s="1">
        <v>2</v>
      </c>
      <c r="I507" s="1">
        <v>2</v>
      </c>
      <c r="J507" s="1">
        <v>2</v>
      </c>
      <c r="K507" s="1">
        <v>2</v>
      </c>
      <c r="M507" s="4">
        <v>1308</v>
      </c>
      <c r="N507" s="1">
        <v>775</v>
      </c>
      <c r="O507" s="1">
        <v>2962</v>
      </c>
      <c r="P507" s="1">
        <v>2187</v>
      </c>
      <c r="Q507" s="1" t="s">
        <v>42</v>
      </c>
      <c r="S507" s="1" t="s">
        <v>42</v>
      </c>
      <c r="T507" s="1" t="s">
        <v>203</v>
      </c>
      <c r="U507" s="1">
        <v>144</v>
      </c>
      <c r="V507" s="5">
        <v>44244</v>
      </c>
      <c r="W507" s="5">
        <v>43657</v>
      </c>
      <c r="X507" s="1">
        <v>1695000</v>
      </c>
      <c r="Y507" s="1">
        <v>1695000</v>
      </c>
      <c r="AA507" s="1">
        <v>1520000</v>
      </c>
      <c r="AB507" s="1" t="s">
        <v>346</v>
      </c>
      <c r="AC507" s="5">
        <v>44225</v>
      </c>
      <c r="AF507" s="1">
        <v>10025</v>
      </c>
      <c r="AI507" s="1" t="s">
        <v>199</v>
      </c>
      <c r="AJ507" s="1">
        <v>2016</v>
      </c>
      <c r="AK507" s="1" t="s">
        <v>91</v>
      </c>
      <c r="AL507" s="1">
        <v>15</v>
      </c>
    </row>
    <row r="508" spans="1:38" x14ac:dyDescent="0.2">
      <c r="A508" s="2" t="str">
        <f>HYPERLINK("https://www.compass.com/listing/360-central-park-west-unit-6k-manhattan-ny-10025/803329133354148593/","360 Central Park W, Unit 6K")</f>
        <v>360 Central Park W, Unit 6K</v>
      </c>
      <c r="B508" s="2" t="str">
        <f t="shared" ref="B508:B509" si="81">HYPERLINK("https://www.compass.com/building/360-central-park-west-manhattan-ny/281971555427243781/","360 Central Park West")</f>
        <v>360 Central Park West</v>
      </c>
      <c r="C508" s="1" t="s">
        <v>47</v>
      </c>
      <c r="D508" s="1" t="s">
        <v>41</v>
      </c>
      <c r="E508" s="3">
        <v>1925000</v>
      </c>
      <c r="F508" s="1">
        <v>1592.22497932175</v>
      </c>
      <c r="G508" s="1">
        <v>4</v>
      </c>
      <c r="H508" s="1">
        <v>2</v>
      </c>
      <c r="I508" s="1">
        <v>2</v>
      </c>
      <c r="J508" s="1">
        <v>2</v>
      </c>
      <c r="M508" s="4">
        <v>1209</v>
      </c>
      <c r="N508" s="1">
        <v>1191</v>
      </c>
      <c r="O508" s="1">
        <v>1955</v>
      </c>
      <c r="P508" s="1">
        <v>764</v>
      </c>
      <c r="Q508" s="1" t="s">
        <v>42</v>
      </c>
      <c r="S508" s="1" t="s">
        <v>42</v>
      </c>
      <c r="T508" s="1" t="s">
        <v>203</v>
      </c>
      <c r="U508" s="1">
        <v>60</v>
      </c>
      <c r="V508" s="5">
        <v>43173</v>
      </c>
      <c r="W508" s="5">
        <v>42513</v>
      </c>
      <c r="X508" s="1">
        <v>1925000</v>
      </c>
      <c r="Y508" s="1">
        <v>1925000</v>
      </c>
      <c r="Z508" s="5">
        <v>42574</v>
      </c>
      <c r="AA508" s="1">
        <v>1925000</v>
      </c>
      <c r="AB508" s="1" t="s">
        <v>347</v>
      </c>
      <c r="AC508" s="5">
        <v>43235</v>
      </c>
      <c r="AF508" s="1">
        <v>10025</v>
      </c>
      <c r="AI508" s="1" t="s">
        <v>348</v>
      </c>
      <c r="AJ508" s="1">
        <v>1929</v>
      </c>
      <c r="AK508" s="1" t="s">
        <v>87</v>
      </c>
      <c r="AL508" s="1">
        <v>126</v>
      </c>
    </row>
    <row r="509" spans="1:38" x14ac:dyDescent="0.2">
      <c r="A509" s="2" t="str">
        <f>HYPERLINK("https://www.compass.com/listing/360-central-park-west-unit-6k-manhattan-ny-10025/29399273615458273/","360 Central Park W, Unit 6K")</f>
        <v>360 Central Park W, Unit 6K</v>
      </c>
      <c r="B509" s="2" t="str">
        <f t="shared" si="81"/>
        <v>360 Central Park West</v>
      </c>
      <c r="C509" s="1" t="s">
        <v>47</v>
      </c>
      <c r="D509" s="1" t="s">
        <v>41</v>
      </c>
      <c r="E509" s="3">
        <v>1925000</v>
      </c>
      <c r="F509" s="1">
        <v>1592.22497932175</v>
      </c>
      <c r="G509" s="1">
        <v>4</v>
      </c>
      <c r="H509" s="1">
        <v>2</v>
      </c>
      <c r="I509" s="1">
        <v>2</v>
      </c>
      <c r="J509" s="1">
        <v>2</v>
      </c>
      <c r="K509" s="1">
        <v>2</v>
      </c>
      <c r="M509" s="4">
        <v>1209</v>
      </c>
      <c r="N509" s="1">
        <v>1191</v>
      </c>
      <c r="O509" s="1">
        <v>1955</v>
      </c>
      <c r="P509" s="1">
        <v>764</v>
      </c>
      <c r="Q509" s="1" t="s">
        <v>42</v>
      </c>
      <c r="S509" s="1" t="s">
        <v>42</v>
      </c>
      <c r="T509" s="1" t="s">
        <v>203</v>
      </c>
      <c r="U509" s="1">
        <v>52</v>
      </c>
      <c r="V509" s="5">
        <v>43678</v>
      </c>
      <c r="W509" s="5">
        <v>42514</v>
      </c>
      <c r="X509" s="1">
        <v>1925000</v>
      </c>
      <c r="Y509" s="1">
        <v>1925000</v>
      </c>
      <c r="Z509" s="5">
        <v>42566</v>
      </c>
      <c r="AA509" s="1">
        <v>1925000</v>
      </c>
      <c r="AB509" s="1" t="s">
        <v>347</v>
      </c>
      <c r="AC509" s="5">
        <v>43235</v>
      </c>
      <c r="AF509" s="1">
        <v>10025</v>
      </c>
      <c r="AI509" s="1" t="s">
        <v>348</v>
      </c>
      <c r="AJ509" s="1">
        <v>1929</v>
      </c>
      <c r="AK509" s="1" t="s">
        <v>87</v>
      </c>
      <c r="AL509" s="1">
        <v>126</v>
      </c>
    </row>
    <row r="510" spans="1:38" x14ac:dyDescent="0.2">
      <c r="A510" s="2" t="str">
        <f>HYPERLINK("https://www.compass.com/listing/30-park-place-unit-39b-manhattan-ny-10007/313710856881538305/","30 Park Pl, Unit 39B")</f>
        <v>30 Park Pl, Unit 39B</v>
      </c>
      <c r="B510" s="2" t="str">
        <f t="shared" ref="B510:B511" si="82">HYPERLINK("https://www.compass.com/building/30-park-pl-manhattan-ny-10007/281896912905317605/","30 Park Pl")</f>
        <v>30 Park Pl</v>
      </c>
      <c r="C510" s="1" t="s">
        <v>40</v>
      </c>
      <c r="D510" s="1" t="s">
        <v>41</v>
      </c>
      <c r="E510" s="3">
        <v>2100000</v>
      </c>
      <c r="F510" s="1">
        <v>2224.57627118644</v>
      </c>
      <c r="G510" s="1">
        <v>4</v>
      </c>
      <c r="H510" s="1">
        <v>2</v>
      </c>
      <c r="I510" s="1">
        <v>1</v>
      </c>
      <c r="J510" s="1">
        <v>1</v>
      </c>
      <c r="K510" s="1">
        <v>1</v>
      </c>
      <c r="M510" s="1">
        <v>944</v>
      </c>
      <c r="N510" s="1">
        <v>783</v>
      </c>
      <c r="O510" s="1">
        <v>2788</v>
      </c>
      <c r="P510" s="1">
        <v>2005</v>
      </c>
      <c r="Q510" s="1" t="s">
        <v>42</v>
      </c>
      <c r="S510" s="1" t="s">
        <v>42</v>
      </c>
      <c r="T510" s="1" t="s">
        <v>203</v>
      </c>
      <c r="U510" s="1">
        <v>72</v>
      </c>
      <c r="V510" s="5">
        <v>43811</v>
      </c>
      <c r="W510" s="5">
        <v>43685</v>
      </c>
      <c r="X510" s="1">
        <v>2495000</v>
      </c>
      <c r="Y510" s="1">
        <v>2495000</v>
      </c>
      <c r="Z510" s="5">
        <v>43757</v>
      </c>
      <c r="AA510" s="1">
        <v>2100000</v>
      </c>
      <c r="AB510" s="1" t="s">
        <v>349</v>
      </c>
      <c r="AC510" s="5">
        <v>43790</v>
      </c>
      <c r="AF510" s="1">
        <v>10007</v>
      </c>
      <c r="AI510" s="1" t="s">
        <v>58</v>
      </c>
      <c r="AJ510" s="1">
        <v>2016</v>
      </c>
      <c r="AK510" s="1" t="s">
        <v>81</v>
      </c>
      <c r="AL510" s="1">
        <v>157</v>
      </c>
    </row>
    <row r="511" spans="1:38" x14ac:dyDescent="0.2">
      <c r="A511" s="2" t="str">
        <f>HYPERLINK("https://www.compass.com/listing/30-park-place-unit-51e-manhattan-ny-10007/18882295805044785/","30 Park Pl, Unit 51E")</f>
        <v>30 Park Pl, Unit 51E</v>
      </c>
      <c r="B511" s="2" t="str">
        <f t="shared" si="82"/>
        <v>30 Park Pl</v>
      </c>
      <c r="C511" s="1" t="s">
        <v>40</v>
      </c>
      <c r="D511" s="1" t="s">
        <v>41</v>
      </c>
      <c r="E511" s="3">
        <v>5050000</v>
      </c>
      <c r="F511" s="1">
        <v>2814.9386845038998</v>
      </c>
      <c r="G511" s="1">
        <v>5</v>
      </c>
      <c r="H511" s="1">
        <v>3</v>
      </c>
      <c r="I511" s="1">
        <v>3</v>
      </c>
      <c r="J511" s="1">
        <v>2.5</v>
      </c>
      <c r="K511" s="1">
        <v>2</v>
      </c>
      <c r="L511" s="1">
        <v>1</v>
      </c>
      <c r="M511" s="4">
        <v>1794</v>
      </c>
      <c r="N511" s="1">
        <v>1535</v>
      </c>
      <c r="O511" s="1">
        <v>5466</v>
      </c>
      <c r="P511" s="1">
        <v>3931</v>
      </c>
      <c r="Q511" s="1" t="s">
        <v>42</v>
      </c>
      <c r="S511" s="1" t="s">
        <v>42</v>
      </c>
      <c r="T511" s="1" t="s">
        <v>203</v>
      </c>
      <c r="U511" s="1">
        <v>328</v>
      </c>
      <c r="V511" s="5">
        <v>43762</v>
      </c>
      <c r="W511" s="5">
        <v>43369</v>
      </c>
      <c r="X511" s="1">
        <v>5695000</v>
      </c>
      <c r="Y511" s="1">
        <v>5150000</v>
      </c>
      <c r="Z511" s="5">
        <v>43697</v>
      </c>
      <c r="AA511" s="1">
        <v>5050000</v>
      </c>
      <c r="AB511" s="1" t="s">
        <v>350</v>
      </c>
      <c r="AC511" s="5">
        <v>43746</v>
      </c>
      <c r="AF511" s="1">
        <v>10007</v>
      </c>
      <c r="AI511" s="1" t="s">
        <v>58</v>
      </c>
      <c r="AJ511" s="1">
        <v>2016</v>
      </c>
      <c r="AK511" s="1" t="s">
        <v>81</v>
      </c>
      <c r="AL511" s="1">
        <v>157</v>
      </c>
    </row>
    <row r="512" spans="1:38" x14ac:dyDescent="0.2">
      <c r="A512" s="2" t="str">
        <f>HYPERLINK("https://www.compass.com/listing/952-columbus-avenue-unit-5b-manhattan-ny-10025/29430197547698001/","952 Columbus Ave, Unit 5B")</f>
        <v>952 Columbus Ave, Unit 5B</v>
      </c>
      <c r="B512" s="2" t="str">
        <f t="shared" ref="B512:B513" si="83">HYPERLINK("https://www.compass.com/building/952-columbus-ave-manhattan-ny-10025/281973617187710805/","952 Columbus Ave")</f>
        <v>952 Columbus Ave</v>
      </c>
      <c r="C512" s="1" t="s">
        <v>47</v>
      </c>
      <c r="D512" s="1" t="s">
        <v>41</v>
      </c>
      <c r="E512" s="3">
        <v>1680113</v>
      </c>
      <c r="F512" s="1">
        <v>1284.4900611620701</v>
      </c>
      <c r="G512" s="1">
        <v>4</v>
      </c>
      <c r="H512" s="1">
        <v>2</v>
      </c>
      <c r="I512" s="1">
        <v>2</v>
      </c>
      <c r="J512" s="1">
        <v>2</v>
      </c>
      <c r="M512" s="4">
        <v>1308</v>
      </c>
      <c r="N512" s="1">
        <v>775</v>
      </c>
      <c r="O512" s="1">
        <v>1698</v>
      </c>
      <c r="P512" s="1">
        <v>923</v>
      </c>
      <c r="Q512" s="1" t="s">
        <v>42</v>
      </c>
      <c r="S512" s="1" t="s">
        <v>42</v>
      </c>
      <c r="T512" s="1" t="s">
        <v>203</v>
      </c>
      <c r="U512" s="1">
        <v>25</v>
      </c>
      <c r="V512" s="5">
        <v>43666</v>
      </c>
      <c r="W512" s="5">
        <v>42711</v>
      </c>
      <c r="X512" s="1">
        <v>1695000</v>
      </c>
      <c r="Y512" s="1">
        <v>1695000</v>
      </c>
      <c r="Z512" s="5">
        <v>42736</v>
      </c>
      <c r="AA512" s="1">
        <v>1680113</v>
      </c>
      <c r="AB512" s="1" t="s">
        <v>351</v>
      </c>
      <c r="AC512" s="5">
        <v>42943</v>
      </c>
      <c r="AF512" s="1">
        <v>10025</v>
      </c>
      <c r="AI512" s="1" t="s">
        <v>352</v>
      </c>
      <c r="AJ512" s="1">
        <v>2016</v>
      </c>
      <c r="AL512" s="1">
        <v>15</v>
      </c>
    </row>
    <row r="513" spans="1:38" x14ac:dyDescent="0.2">
      <c r="A513" s="2" t="str">
        <f>HYPERLINK("https://www.compass.com/listing/952-columbus-avenue-unit-3c-manhattan-ny-10025/756398682841404961/","952 Columbus Ave, Unit 3C")</f>
        <v>952 Columbus Ave, Unit 3C</v>
      </c>
      <c r="B513" s="2" t="str">
        <f t="shared" si="83"/>
        <v>952 Columbus Ave</v>
      </c>
      <c r="C513" s="1" t="s">
        <v>47</v>
      </c>
      <c r="D513" s="1" t="s">
        <v>41</v>
      </c>
      <c r="E513" s="3">
        <v>1595000</v>
      </c>
      <c r="F513" s="1">
        <v>1243.18004676539</v>
      </c>
      <c r="G513" s="1">
        <v>4</v>
      </c>
      <c r="H513" s="1">
        <v>2</v>
      </c>
      <c r="I513" s="1">
        <v>2</v>
      </c>
      <c r="J513" s="1">
        <v>2</v>
      </c>
      <c r="K513" s="1">
        <v>2</v>
      </c>
      <c r="M513" s="4">
        <v>1283</v>
      </c>
      <c r="N513" s="1">
        <v>918</v>
      </c>
      <c r="O513" s="1">
        <v>2018</v>
      </c>
      <c r="P513" s="1">
        <v>1100</v>
      </c>
      <c r="Q513" s="1" t="s">
        <v>42</v>
      </c>
      <c r="S513" s="1" t="s">
        <v>42</v>
      </c>
      <c r="T513" s="1" t="s">
        <v>203</v>
      </c>
      <c r="U513" s="1">
        <v>28</v>
      </c>
      <c r="V513" s="5">
        <v>44408</v>
      </c>
      <c r="W513" s="5">
        <v>44294</v>
      </c>
      <c r="X513" s="1">
        <v>1595000</v>
      </c>
      <c r="Y513" s="1">
        <v>1595000</v>
      </c>
      <c r="Z513" s="5">
        <v>44322</v>
      </c>
      <c r="AA513" s="1">
        <v>1595000</v>
      </c>
      <c r="AB513" s="1" t="s">
        <v>204</v>
      </c>
      <c r="AC513" s="5">
        <v>44407</v>
      </c>
      <c r="AF513" s="1">
        <v>10025</v>
      </c>
      <c r="AI513" s="1" t="s">
        <v>51</v>
      </c>
      <c r="AJ513" s="1">
        <v>2016</v>
      </c>
      <c r="AK513" s="1" t="s">
        <v>178</v>
      </c>
      <c r="AL513" s="1">
        <v>15</v>
      </c>
    </row>
    <row r="514" spans="1:38" x14ac:dyDescent="0.2">
      <c r="A514" s="2" t="str">
        <f>HYPERLINK("https://www.compass.com/listing/421-west-22nd-street-unit-phs-manhattan-ny-10011/29370278895245857/","421 W 22nd St, Unit PHS")</f>
        <v>421 W 22nd St, Unit PHS</v>
      </c>
      <c r="B514" s="2" t="str">
        <f>HYPERLINK("https://www.compass.com/building/421-w-22nd-st-manhattan-ny-10011/281910201349594997/","421 W 22nd St")</f>
        <v>421 W 22nd St</v>
      </c>
      <c r="C514" s="1" t="s">
        <v>62</v>
      </c>
      <c r="D514" s="1" t="s">
        <v>41</v>
      </c>
      <c r="E514" s="3">
        <v>1532466</v>
      </c>
      <c r="F514" s="1">
        <v>1790.2640186915801</v>
      </c>
      <c r="G514" s="1">
        <v>3</v>
      </c>
      <c r="H514" s="1">
        <v>1</v>
      </c>
      <c r="I514" s="1">
        <v>2</v>
      </c>
      <c r="J514" s="1">
        <v>2</v>
      </c>
      <c r="M514" s="1">
        <v>856</v>
      </c>
      <c r="N514" s="1">
        <v>1058</v>
      </c>
      <c r="O514" s="1">
        <v>1763</v>
      </c>
      <c r="P514" s="1">
        <v>705</v>
      </c>
      <c r="Q514" s="1" t="s">
        <v>353</v>
      </c>
      <c r="S514" s="1" t="s">
        <v>353</v>
      </c>
      <c r="T514" s="1" t="s">
        <v>203</v>
      </c>
      <c r="U514" s="1">
        <v>28</v>
      </c>
      <c r="V514" s="5">
        <v>43679</v>
      </c>
      <c r="W514" s="5">
        <v>42272</v>
      </c>
      <c r="X514" s="1">
        <v>1395000</v>
      </c>
      <c r="Y514" s="1">
        <v>1395000</v>
      </c>
      <c r="Z514" s="5">
        <v>42300</v>
      </c>
      <c r="AA514" s="1">
        <v>1532466</v>
      </c>
      <c r="AB514" s="1" t="s">
        <v>354</v>
      </c>
      <c r="AC514" s="5">
        <v>42368</v>
      </c>
      <c r="AF514" s="1">
        <v>10011</v>
      </c>
      <c r="AI514" s="1" t="s">
        <v>355</v>
      </c>
      <c r="AJ514" s="1">
        <v>1900</v>
      </c>
      <c r="AL514" s="1">
        <v>8</v>
      </c>
    </row>
    <row r="515" spans="1:38" x14ac:dyDescent="0.2">
      <c r="A515" s="2" t="str">
        <f>HYPERLINK("https://www.compass.com/listing/189-avenue-c-unit-7e-manhattan-ny-10009/70924667069741537/","189 Avenue C, Unit 7E")</f>
        <v>189 Avenue C, Unit 7E</v>
      </c>
      <c r="B515" s="2" t="str">
        <f t="shared" ref="B515:B516" si="84">HYPERLINK("https://www.compass.com/building/the-calyx-manhattan-ny/426959097439640773/","The Calyx")</f>
        <v>The Calyx</v>
      </c>
      <c r="C515" s="1" t="s">
        <v>88</v>
      </c>
      <c r="D515" s="1" t="s">
        <v>41</v>
      </c>
      <c r="E515" s="3">
        <v>1476463</v>
      </c>
      <c r="F515" s="1">
        <v>1308.9210992907799</v>
      </c>
      <c r="G515" s="1">
        <v>4</v>
      </c>
      <c r="H515" s="1">
        <v>2</v>
      </c>
      <c r="I515" s="1">
        <v>2</v>
      </c>
      <c r="J515" s="1">
        <v>2</v>
      </c>
      <c r="K515" s="1">
        <v>2</v>
      </c>
      <c r="M515" s="4">
        <v>1128</v>
      </c>
      <c r="N515" s="1">
        <v>1026</v>
      </c>
      <c r="O515" s="1">
        <v>1982</v>
      </c>
      <c r="P515" s="1">
        <v>956</v>
      </c>
      <c r="Q515" s="1" t="s">
        <v>42</v>
      </c>
      <c r="S515" s="1" t="s">
        <v>42</v>
      </c>
      <c r="T515" s="1" t="s">
        <v>203</v>
      </c>
      <c r="U515" s="1">
        <v>54</v>
      </c>
      <c r="V515" s="5">
        <v>43633</v>
      </c>
      <c r="W515" s="5">
        <v>42903</v>
      </c>
      <c r="X515" s="1">
        <v>1450000</v>
      </c>
      <c r="Y515" s="1">
        <v>1450000</v>
      </c>
      <c r="Z515" s="5">
        <v>42957</v>
      </c>
      <c r="AA515" s="1">
        <v>1476463</v>
      </c>
      <c r="AB515" s="1" t="s">
        <v>343</v>
      </c>
      <c r="AC515" s="5">
        <v>42994</v>
      </c>
      <c r="AF515" s="1">
        <v>10009</v>
      </c>
      <c r="AI515" s="1" t="s">
        <v>356</v>
      </c>
      <c r="AJ515" s="1">
        <v>2011</v>
      </c>
      <c r="AK515" s="1" t="s">
        <v>178</v>
      </c>
      <c r="AL515" s="1">
        <v>35</v>
      </c>
    </row>
    <row r="516" spans="1:38" x14ac:dyDescent="0.2">
      <c r="A516" s="2" t="str">
        <f>HYPERLINK("https://www.compass.com/listing/189-avenue-c-unit-10e-manhattan-ny-10009/70924671079418657/","189 Avenue C, Unit 10E")</f>
        <v>189 Avenue C, Unit 10E</v>
      </c>
      <c r="B516" s="2" t="str">
        <f t="shared" si="84"/>
        <v>The Calyx</v>
      </c>
      <c r="C516" s="1" t="s">
        <v>88</v>
      </c>
      <c r="D516" s="1" t="s">
        <v>41</v>
      </c>
      <c r="E516" s="3">
        <v>1300000</v>
      </c>
      <c r="F516" s="1">
        <v>1152.48226950354</v>
      </c>
      <c r="G516" s="1">
        <v>4</v>
      </c>
      <c r="H516" s="1">
        <v>2</v>
      </c>
      <c r="I516" s="1">
        <v>2</v>
      </c>
      <c r="J516" s="1">
        <v>2</v>
      </c>
      <c r="K516" s="1">
        <v>2</v>
      </c>
      <c r="M516" s="4">
        <v>1128</v>
      </c>
      <c r="N516" s="1">
        <v>1077</v>
      </c>
      <c r="O516" s="1">
        <v>2084</v>
      </c>
      <c r="P516" s="1">
        <v>1007</v>
      </c>
      <c r="Q516" s="1" t="s">
        <v>42</v>
      </c>
      <c r="S516" s="1" t="s">
        <v>42</v>
      </c>
      <c r="T516" s="1" t="s">
        <v>203</v>
      </c>
      <c r="U516" s="1">
        <v>103</v>
      </c>
      <c r="V516" s="5">
        <v>43641</v>
      </c>
      <c r="W516" s="5">
        <v>42903</v>
      </c>
      <c r="X516" s="1">
        <v>1350000</v>
      </c>
      <c r="Y516" s="1">
        <v>1350000</v>
      </c>
      <c r="Z516" s="5">
        <v>43006</v>
      </c>
      <c r="AA516" s="1">
        <v>1300000</v>
      </c>
      <c r="AB516" s="1" t="s">
        <v>357</v>
      </c>
      <c r="AC516" s="5">
        <v>43047</v>
      </c>
      <c r="AF516" s="1">
        <v>10009</v>
      </c>
      <c r="AI516" s="1" t="s">
        <v>315</v>
      </c>
      <c r="AJ516" s="1">
        <v>2011</v>
      </c>
      <c r="AK516" s="1" t="s">
        <v>140</v>
      </c>
      <c r="AL516" s="1">
        <v>35</v>
      </c>
    </row>
    <row r="517" spans="1:38" x14ac:dyDescent="0.2">
      <c r="A517" s="2" t="str">
        <f>HYPERLINK("https://www.compass.com/listing/34-west-17th-street-unit-5-manhattan-ny-10011/29374427196146897/","34 W 17th St, Unit 5")</f>
        <v>34 W 17th St, Unit 5</v>
      </c>
      <c r="B517" s="2" t="str">
        <f>HYPERLINK("https://www.compass.com/building/the-paperbox-building-manhattan-ny/281909156036761877/","The Paperbox Building")</f>
        <v>The Paperbox Building</v>
      </c>
      <c r="C517" s="1" t="s">
        <v>358</v>
      </c>
      <c r="D517" s="1" t="s">
        <v>41</v>
      </c>
      <c r="E517" s="3">
        <v>3885131</v>
      </c>
      <c r="F517" s="1">
        <v>1725.1913854351601</v>
      </c>
      <c r="G517" s="1">
        <v>7</v>
      </c>
      <c r="H517" s="1">
        <v>2</v>
      </c>
      <c r="I517" s="1">
        <v>3</v>
      </c>
      <c r="J517" s="1">
        <v>3</v>
      </c>
      <c r="M517" s="4">
        <v>2252</v>
      </c>
      <c r="N517" s="1">
        <v>1791</v>
      </c>
      <c r="O517" s="1">
        <v>4255</v>
      </c>
      <c r="P517" s="1">
        <v>2464</v>
      </c>
      <c r="Q517" s="1" t="s">
        <v>42</v>
      </c>
      <c r="S517" s="1" t="s">
        <v>42</v>
      </c>
      <c r="T517" s="1" t="s">
        <v>203</v>
      </c>
      <c r="U517" s="1">
        <v>57</v>
      </c>
      <c r="V517" s="5">
        <v>43673</v>
      </c>
      <c r="W517" s="5">
        <v>42621</v>
      </c>
      <c r="X517" s="1">
        <v>4175000</v>
      </c>
      <c r="Y517" s="1">
        <v>4175000</v>
      </c>
      <c r="Z517" s="5">
        <v>42678</v>
      </c>
      <c r="AA517" s="1">
        <v>3885131</v>
      </c>
      <c r="AB517" s="1" t="s">
        <v>359</v>
      </c>
      <c r="AC517" s="5">
        <v>42831</v>
      </c>
      <c r="AF517" s="1">
        <v>10011</v>
      </c>
      <c r="AJ517" s="1">
        <v>1910</v>
      </c>
      <c r="AK517" s="1" t="s">
        <v>360</v>
      </c>
      <c r="AL517" s="1">
        <v>9</v>
      </c>
    </row>
    <row r="518" spans="1:38" x14ac:dyDescent="0.2">
      <c r="A518" s="2" t="str">
        <f>HYPERLINK("https://www.compass.com/listing/30-park-place-unit-70a-manhattan-ny-10007/354308740815596945/","30 Park Pl, Unit 70A")</f>
        <v>30 Park Pl, Unit 70A</v>
      </c>
      <c r="B518" s="2" t="str">
        <f t="shared" ref="B518:B519" si="85">HYPERLINK("https://www.compass.com/building/30-park-pl-manhattan-ny-10007/281896912905317605/","30 Park Pl")</f>
        <v>30 Park Pl</v>
      </c>
      <c r="C518" s="1" t="s">
        <v>40</v>
      </c>
      <c r="D518" s="1" t="s">
        <v>41</v>
      </c>
      <c r="E518" s="3">
        <v>10500000</v>
      </c>
      <c r="F518" s="1">
        <v>2838.60502838605</v>
      </c>
      <c r="G518" s="1">
        <v>8</v>
      </c>
      <c r="H518" s="1">
        <v>4</v>
      </c>
      <c r="I518" s="1">
        <v>6</v>
      </c>
      <c r="J518" s="1">
        <v>5.5</v>
      </c>
      <c r="K518" s="1">
        <v>5</v>
      </c>
      <c r="L518" s="1">
        <v>1</v>
      </c>
      <c r="M518" s="4">
        <v>3699</v>
      </c>
      <c r="N518" s="1">
        <v>3327</v>
      </c>
      <c r="O518" s="1">
        <v>11848</v>
      </c>
      <c r="P518" s="1">
        <v>8521</v>
      </c>
      <c r="Q518" s="1" t="s">
        <v>42</v>
      </c>
      <c r="S518" s="1" t="s">
        <v>42</v>
      </c>
      <c r="T518" s="1" t="s">
        <v>203</v>
      </c>
      <c r="U518" s="1">
        <v>170</v>
      </c>
      <c r="V518" s="5">
        <v>43857</v>
      </c>
      <c r="W518" s="5">
        <v>43636</v>
      </c>
      <c r="X518" s="1">
        <v>12970000</v>
      </c>
      <c r="Y518" s="1">
        <v>11500000</v>
      </c>
      <c r="Z518" s="5">
        <v>43806</v>
      </c>
      <c r="AA518" s="1">
        <v>10500000</v>
      </c>
      <c r="AB518" s="1" t="s">
        <v>361</v>
      </c>
      <c r="AC518" s="5">
        <v>43845</v>
      </c>
      <c r="AF518" s="1">
        <v>10007</v>
      </c>
      <c r="AI518" s="1" t="s">
        <v>58</v>
      </c>
      <c r="AJ518" s="1">
        <v>2016</v>
      </c>
      <c r="AK518" s="1" t="s">
        <v>81</v>
      </c>
      <c r="AL518" s="1">
        <v>157</v>
      </c>
    </row>
    <row r="519" spans="1:38" x14ac:dyDescent="0.2">
      <c r="A519" s="2" t="str">
        <f>HYPERLINK("https://www.compass.com/listing/30-park-place-unit-62a-manhattan-ny-10007/498516432335429401/","30 Park Pl, Unit 62A")</f>
        <v>30 Park Pl, Unit 62A</v>
      </c>
      <c r="B519" s="2" t="str">
        <f t="shared" si="85"/>
        <v>30 Park Pl</v>
      </c>
      <c r="C519" s="1" t="s">
        <v>40</v>
      </c>
      <c r="D519" s="1" t="s">
        <v>41</v>
      </c>
      <c r="E519" s="3">
        <v>6940000</v>
      </c>
      <c r="F519" s="1">
        <v>2475.9186585800899</v>
      </c>
      <c r="G519" s="1">
        <v>7.5</v>
      </c>
      <c r="H519" s="1">
        <v>4</v>
      </c>
      <c r="I519" s="1">
        <v>5</v>
      </c>
      <c r="J519" s="1">
        <v>4.5</v>
      </c>
      <c r="K519" s="1">
        <v>4</v>
      </c>
      <c r="L519" s="1">
        <v>1</v>
      </c>
      <c r="M519" s="4">
        <v>2803</v>
      </c>
      <c r="N519" s="1">
        <v>2556</v>
      </c>
      <c r="O519" s="1">
        <v>8903</v>
      </c>
      <c r="P519" s="1">
        <v>6347</v>
      </c>
      <c r="Q519" s="1" t="s">
        <v>42</v>
      </c>
      <c r="S519" s="1" t="s">
        <v>42</v>
      </c>
      <c r="T519" s="1" t="s">
        <v>203</v>
      </c>
      <c r="U519" s="1">
        <v>298</v>
      </c>
      <c r="V519" s="5">
        <v>44334</v>
      </c>
      <c r="W519" s="5">
        <v>43938</v>
      </c>
      <c r="X519" s="1">
        <v>8150000</v>
      </c>
      <c r="Y519" s="1">
        <v>8150000</v>
      </c>
      <c r="Z519" s="5">
        <v>44303</v>
      </c>
      <c r="AA519" s="1">
        <v>6940000</v>
      </c>
      <c r="AB519" s="1" t="s">
        <v>362</v>
      </c>
      <c r="AC519" s="5">
        <v>44328</v>
      </c>
      <c r="AF519" s="1">
        <v>10007</v>
      </c>
      <c r="AI519" s="1" t="s">
        <v>58</v>
      </c>
      <c r="AJ519" s="1">
        <v>2016</v>
      </c>
      <c r="AK519" s="1" t="s">
        <v>81</v>
      </c>
      <c r="AL519" s="1">
        <v>157</v>
      </c>
    </row>
    <row r="520" spans="1:38" x14ac:dyDescent="0.2">
      <c r="A520" s="2" t="str">
        <f>HYPERLINK("https://www.compass.com/listing/189-avenue-c-unit-3b-manhattan-ny-10009/29361144867138641/","189 Avenue C, Unit 3B")</f>
        <v>189 Avenue C, Unit 3B</v>
      </c>
      <c r="B520" s="2" t="str">
        <f t="shared" ref="B520:B523" si="86">HYPERLINK("https://www.compass.com/building/the-calyx-manhattan-ny/426959097439640773/","The Calyx")</f>
        <v>The Calyx</v>
      </c>
      <c r="C520" s="1" t="s">
        <v>88</v>
      </c>
      <c r="D520" s="1" t="s">
        <v>41</v>
      </c>
      <c r="E520" s="3">
        <v>910000</v>
      </c>
      <c r="F520" s="1">
        <v>1066.8229777256699</v>
      </c>
      <c r="G520" s="1">
        <v>2</v>
      </c>
      <c r="H520" s="1">
        <v>1</v>
      </c>
      <c r="I520" s="1">
        <v>1</v>
      </c>
      <c r="J520" s="1">
        <v>1</v>
      </c>
      <c r="K520" s="1">
        <v>1</v>
      </c>
      <c r="M520" s="1">
        <v>853</v>
      </c>
      <c r="N520" s="1">
        <v>776</v>
      </c>
      <c r="O520" s="1">
        <v>1499</v>
      </c>
      <c r="P520" s="1">
        <v>723</v>
      </c>
      <c r="Q520" s="1" t="s">
        <v>335</v>
      </c>
      <c r="S520" s="1" t="s">
        <v>336</v>
      </c>
      <c r="T520" s="1" t="s">
        <v>203</v>
      </c>
      <c r="U520" s="1">
        <v>64</v>
      </c>
      <c r="V520" s="5">
        <v>43673</v>
      </c>
      <c r="W520" s="5">
        <v>42759</v>
      </c>
      <c r="X520" s="1">
        <v>925000</v>
      </c>
      <c r="Y520" s="1">
        <v>925000</v>
      </c>
      <c r="Z520" s="5">
        <v>42844</v>
      </c>
      <c r="AA520" s="1">
        <v>910000</v>
      </c>
      <c r="AB520" s="1" t="s">
        <v>363</v>
      </c>
      <c r="AC520" s="5">
        <v>42898</v>
      </c>
      <c r="AF520" s="1">
        <v>10009</v>
      </c>
      <c r="AI520" s="1" t="s">
        <v>73</v>
      </c>
      <c r="AJ520" s="1">
        <v>2011</v>
      </c>
      <c r="AK520" s="1" t="s">
        <v>140</v>
      </c>
      <c r="AL520" s="1">
        <v>35</v>
      </c>
    </row>
    <row r="521" spans="1:38" x14ac:dyDescent="0.2">
      <c r="A521" s="2" t="str">
        <f>HYPERLINK("https://www.compass.com/listing/189-avenue-c-unit-4b-manhattan-ny-10009/29361145890548833/","189 Avenue C, Unit 4B")</f>
        <v>189 Avenue C, Unit 4B</v>
      </c>
      <c r="B521" s="2" t="str">
        <f t="shared" si="86"/>
        <v>The Calyx</v>
      </c>
      <c r="C521" s="1" t="s">
        <v>88</v>
      </c>
      <c r="D521" s="1" t="s">
        <v>41</v>
      </c>
      <c r="E521" s="3">
        <v>865000</v>
      </c>
      <c r="F521" s="1">
        <v>1014.06799531066</v>
      </c>
      <c r="G521" s="1">
        <v>3</v>
      </c>
      <c r="H521" s="1">
        <v>1</v>
      </c>
      <c r="I521" s="1">
        <v>1</v>
      </c>
      <c r="J521" s="1">
        <v>1</v>
      </c>
      <c r="K521" s="1">
        <v>1</v>
      </c>
      <c r="M521" s="1">
        <v>853</v>
      </c>
      <c r="N521" s="1">
        <v>665.62</v>
      </c>
      <c r="O521" s="1">
        <v>1151.24</v>
      </c>
      <c r="P521" s="1">
        <v>485.58333333333297</v>
      </c>
      <c r="Q521" s="1" t="s">
        <v>335</v>
      </c>
      <c r="S521" s="1" t="s">
        <v>336</v>
      </c>
      <c r="T521" s="1" t="s">
        <v>203</v>
      </c>
      <c r="U521" s="1">
        <v>64</v>
      </c>
      <c r="V521" s="5">
        <v>43675</v>
      </c>
      <c r="W521" s="5">
        <v>42447</v>
      </c>
      <c r="X521" s="1">
        <v>900000</v>
      </c>
      <c r="Y521" s="1">
        <v>875000</v>
      </c>
      <c r="Z521" s="5">
        <v>42511</v>
      </c>
      <c r="AA521" s="1">
        <v>865000</v>
      </c>
      <c r="AB521" s="1" t="s">
        <v>364</v>
      </c>
      <c r="AC521" s="5">
        <v>42551</v>
      </c>
      <c r="AF521" s="1">
        <v>10009</v>
      </c>
      <c r="AI521" s="1" t="s">
        <v>73</v>
      </c>
      <c r="AJ521" s="1">
        <v>2011</v>
      </c>
      <c r="AK521" s="1" t="s">
        <v>140</v>
      </c>
      <c r="AL521" s="1">
        <v>35</v>
      </c>
    </row>
    <row r="522" spans="1:38" x14ac:dyDescent="0.2">
      <c r="A522" s="2" t="str">
        <f>HYPERLINK("https://www.compass.com/listing/189-avenue-c-unit-5e-manhattan-ny-10009/29361147190823297/","189 Avenue C, Unit 5E")</f>
        <v>189 Avenue C, Unit 5E</v>
      </c>
      <c r="B522" s="2" t="str">
        <f t="shared" si="86"/>
        <v>The Calyx</v>
      </c>
      <c r="C522" s="1" t="s">
        <v>88</v>
      </c>
      <c r="D522" s="1" t="s">
        <v>41</v>
      </c>
      <c r="E522" s="3">
        <v>865513</v>
      </c>
      <c r="F522" s="1">
        <v>1146.3748344370799</v>
      </c>
      <c r="G522" s="1">
        <v>3</v>
      </c>
      <c r="H522" s="1">
        <v>1</v>
      </c>
      <c r="I522" s="1">
        <v>1</v>
      </c>
      <c r="J522" s="1">
        <v>1</v>
      </c>
      <c r="K522" s="1">
        <v>1</v>
      </c>
      <c r="M522" s="1">
        <v>755</v>
      </c>
      <c r="N522" s="1">
        <v>620.4</v>
      </c>
      <c r="O522" s="1">
        <v>1072.79</v>
      </c>
      <c r="P522" s="1">
        <v>452.416666666666</v>
      </c>
      <c r="Q522" s="1" t="s">
        <v>335</v>
      </c>
      <c r="S522" s="1" t="s">
        <v>336</v>
      </c>
      <c r="T522" s="1" t="s">
        <v>203</v>
      </c>
      <c r="U522" s="1">
        <v>18</v>
      </c>
      <c r="V522" s="5">
        <v>43678</v>
      </c>
      <c r="W522" s="5">
        <v>42404</v>
      </c>
      <c r="X522" s="1">
        <v>925000</v>
      </c>
      <c r="Y522" s="1">
        <v>925000</v>
      </c>
      <c r="Z522" s="5">
        <v>42422</v>
      </c>
      <c r="AA522" s="1">
        <v>865513</v>
      </c>
      <c r="AB522" s="1" t="s">
        <v>365</v>
      </c>
      <c r="AC522" s="5">
        <v>42518</v>
      </c>
      <c r="AF522" s="1">
        <v>10009</v>
      </c>
      <c r="AI522" s="1" t="s">
        <v>73</v>
      </c>
      <c r="AJ522" s="1">
        <v>2011</v>
      </c>
      <c r="AK522" s="1" t="s">
        <v>140</v>
      </c>
      <c r="AL522" s="1">
        <v>35</v>
      </c>
    </row>
    <row r="523" spans="1:38" x14ac:dyDescent="0.2">
      <c r="A523" s="2" t="str">
        <f>HYPERLINK("https://www.compass.com/listing/189-avenue-c-unit-6e-manhattan-ny-10009/70918351077076001/","189 Avenue C, Unit 6E")</f>
        <v>189 Avenue C, Unit 6E</v>
      </c>
      <c r="B523" s="2" t="str">
        <f t="shared" si="86"/>
        <v>The Calyx</v>
      </c>
      <c r="C523" s="1" t="s">
        <v>88</v>
      </c>
      <c r="D523" s="1" t="s">
        <v>41</v>
      </c>
      <c r="E523" s="3">
        <v>850000</v>
      </c>
      <c r="F523" s="1">
        <v>1125.8278145695299</v>
      </c>
      <c r="G523" s="1">
        <v>3</v>
      </c>
      <c r="H523" s="1">
        <v>1</v>
      </c>
      <c r="I523" s="1">
        <v>1</v>
      </c>
      <c r="J523" s="1">
        <v>1</v>
      </c>
      <c r="K523" s="1">
        <v>1</v>
      </c>
      <c r="M523" s="1">
        <v>755</v>
      </c>
      <c r="N523" s="1">
        <v>620.4</v>
      </c>
      <c r="O523" s="1">
        <v>1072.79</v>
      </c>
      <c r="P523" s="1">
        <v>452.416666666666</v>
      </c>
      <c r="Q523" s="1" t="s">
        <v>339</v>
      </c>
      <c r="S523" s="1" t="s">
        <v>340</v>
      </c>
      <c r="T523" s="1" t="s">
        <v>203</v>
      </c>
      <c r="U523" s="1">
        <v>1</v>
      </c>
      <c r="V523" s="5">
        <v>43636</v>
      </c>
      <c r="W523" s="5">
        <v>42425</v>
      </c>
      <c r="X523" s="1">
        <v>950000</v>
      </c>
      <c r="Y523" s="1">
        <v>950000</v>
      </c>
      <c r="Z523" s="5">
        <v>42426</v>
      </c>
      <c r="AA523" s="1">
        <v>850000</v>
      </c>
      <c r="AB523" s="1" t="s">
        <v>321</v>
      </c>
      <c r="AC523" s="5">
        <v>42495</v>
      </c>
      <c r="AF523" s="1">
        <v>10009</v>
      </c>
      <c r="AI523" s="1" t="s">
        <v>73</v>
      </c>
      <c r="AJ523" s="1">
        <v>2011</v>
      </c>
      <c r="AK523" s="1" t="s">
        <v>140</v>
      </c>
      <c r="AL523" s="1">
        <v>35</v>
      </c>
    </row>
    <row r="524" spans="1:38" x14ac:dyDescent="0.2">
      <c r="A524" s="2" t="str">
        <f>HYPERLINK("https://www.compass.com/listing/30-park-place-unit-49e-manhattan-ny-10007/4848422377408694193/","30 Park Pl, Unit 49E")</f>
        <v>30 Park Pl, Unit 49E</v>
      </c>
      <c r="B524" s="2" t="str">
        <f>HYPERLINK("https://www.compass.com/building/30-park-pl-manhattan-ny-10007/281896912905317605/","30 Park Pl")</f>
        <v>30 Park Pl</v>
      </c>
      <c r="C524" s="1" t="s">
        <v>40</v>
      </c>
      <c r="D524" s="1" t="s">
        <v>41</v>
      </c>
      <c r="E524" s="3">
        <v>4900000</v>
      </c>
      <c r="F524" s="1">
        <v>2731.32664437012</v>
      </c>
      <c r="G524" s="1">
        <v>5</v>
      </c>
      <c r="H524" s="1">
        <v>3</v>
      </c>
      <c r="J524" s="1">
        <v>2.5</v>
      </c>
      <c r="M524" s="4">
        <v>1794</v>
      </c>
      <c r="N524" s="1">
        <v>1460</v>
      </c>
      <c r="O524" s="1">
        <v>5181</v>
      </c>
      <c r="P524" s="1">
        <v>3721</v>
      </c>
      <c r="Q524" s="1" t="s">
        <v>42</v>
      </c>
      <c r="S524" s="1" t="s">
        <v>42</v>
      </c>
      <c r="T524" s="1" t="s">
        <v>203</v>
      </c>
      <c r="U524" s="1">
        <v>146</v>
      </c>
      <c r="V524" s="5">
        <v>44247</v>
      </c>
      <c r="W524" s="5">
        <v>42880</v>
      </c>
      <c r="X524" s="1">
        <v>5600000</v>
      </c>
      <c r="Y524" s="1">
        <v>4900000</v>
      </c>
      <c r="Z524" s="5">
        <v>43026</v>
      </c>
      <c r="AA524" s="1">
        <v>4900000</v>
      </c>
      <c r="AB524" s="1" t="s">
        <v>366</v>
      </c>
      <c r="AC524" s="5">
        <v>43059</v>
      </c>
      <c r="AF524" s="1">
        <v>10007</v>
      </c>
      <c r="AJ524" s="1">
        <v>2016</v>
      </c>
      <c r="AK524" s="1" t="s">
        <v>50</v>
      </c>
      <c r="AL524" s="1">
        <v>157</v>
      </c>
    </row>
    <row r="525" spans="1:38" x14ac:dyDescent="0.2">
      <c r="A525" s="2" t="str">
        <f>HYPERLINK("https://www.compass.com/listing/189-avenue-c-unit-3e-manhattan-ny-10009/29361145219500385/","189 Avenue C, Unit 3E")</f>
        <v>189 Avenue C, Unit 3E</v>
      </c>
      <c r="B525" s="2" t="str">
        <f>HYPERLINK("https://www.compass.com/building/the-calyx-manhattan-ny/426959097439640773/","The Calyx")</f>
        <v>The Calyx</v>
      </c>
      <c r="C525" s="1" t="s">
        <v>88</v>
      </c>
      <c r="D525" s="1" t="s">
        <v>41</v>
      </c>
      <c r="E525" s="3">
        <v>730000</v>
      </c>
      <c r="F525" s="1">
        <v>1057.9710144927501</v>
      </c>
      <c r="G525" s="1">
        <v>2</v>
      </c>
      <c r="H525" s="1">
        <v>1</v>
      </c>
      <c r="I525" s="1">
        <v>1</v>
      </c>
      <c r="J525" s="1">
        <v>1</v>
      </c>
      <c r="K525" s="1">
        <v>1</v>
      </c>
      <c r="M525" s="1">
        <v>690</v>
      </c>
      <c r="N525" s="1">
        <v>723</v>
      </c>
      <c r="O525" s="1">
        <v>1397</v>
      </c>
      <c r="P525" s="1">
        <v>674</v>
      </c>
      <c r="Q525" s="1" t="s">
        <v>335</v>
      </c>
      <c r="S525" s="1" t="s">
        <v>336</v>
      </c>
      <c r="T525" s="1" t="s">
        <v>203</v>
      </c>
      <c r="U525" s="1">
        <v>31</v>
      </c>
      <c r="V525" s="5">
        <v>43631</v>
      </c>
      <c r="W525" s="5">
        <v>42857</v>
      </c>
      <c r="X525" s="1">
        <v>750000</v>
      </c>
      <c r="Y525" s="1">
        <v>750000</v>
      </c>
      <c r="Z525" s="5">
        <v>42888</v>
      </c>
      <c r="AA525" s="1">
        <v>730000</v>
      </c>
      <c r="AB525" s="1" t="s">
        <v>367</v>
      </c>
      <c r="AC525" s="5">
        <v>42908</v>
      </c>
      <c r="AF525" s="1">
        <v>10009</v>
      </c>
      <c r="AI525" s="1" t="s">
        <v>73</v>
      </c>
      <c r="AJ525" s="1">
        <v>2011</v>
      </c>
      <c r="AK525" s="1" t="s">
        <v>140</v>
      </c>
      <c r="AL525" s="1">
        <v>35</v>
      </c>
    </row>
    <row r="526" spans="1:38" x14ac:dyDescent="0.2">
      <c r="A526" s="2" t="str">
        <f>HYPERLINK("https://www.compass.com/listing/952-columbus-avenue-unit-6b-manhattan-ny-10025/29430198378243873/","952 Columbus Ave, Unit 6B")</f>
        <v>952 Columbus Ave, Unit 6B</v>
      </c>
      <c r="B526" s="2" t="str">
        <f>HYPERLINK("https://www.compass.com/building/952-columbus-ave-manhattan-ny-10025/281973617187710805/","952 Columbus Ave")</f>
        <v>952 Columbus Ave</v>
      </c>
      <c r="C526" s="1" t="s">
        <v>47</v>
      </c>
      <c r="D526" s="1" t="s">
        <v>41</v>
      </c>
      <c r="E526" s="3">
        <v>1680113</v>
      </c>
      <c r="F526" s="1">
        <v>1284.4900611620701</v>
      </c>
      <c r="G526" s="1">
        <v>4</v>
      </c>
      <c r="H526" s="1">
        <v>2</v>
      </c>
      <c r="I526" s="1">
        <v>2</v>
      </c>
      <c r="J526" s="1">
        <v>2</v>
      </c>
      <c r="M526" s="4">
        <v>1308</v>
      </c>
      <c r="N526" s="1">
        <v>775</v>
      </c>
      <c r="O526" s="1">
        <v>1698</v>
      </c>
      <c r="P526" s="1">
        <v>923</v>
      </c>
      <c r="Q526" s="1" t="s">
        <v>42</v>
      </c>
      <c r="S526" s="1" t="s">
        <v>42</v>
      </c>
      <c r="T526" s="1" t="s">
        <v>203</v>
      </c>
      <c r="V526" s="5">
        <v>43650</v>
      </c>
      <c r="W526" s="5">
        <v>42745</v>
      </c>
      <c r="X526" s="1">
        <v>1750000</v>
      </c>
      <c r="Y526" s="1">
        <v>1750000</v>
      </c>
      <c r="Z526" s="5">
        <v>42745</v>
      </c>
      <c r="AA526" s="1">
        <v>1680113</v>
      </c>
      <c r="AB526" s="1" t="s">
        <v>368</v>
      </c>
      <c r="AC526" s="5">
        <v>42976</v>
      </c>
      <c r="AF526" s="1">
        <v>10025</v>
      </c>
      <c r="AI526" s="1" t="s">
        <v>52</v>
      </c>
      <c r="AJ526" s="1">
        <v>2016</v>
      </c>
      <c r="AL526" s="1">
        <v>15</v>
      </c>
    </row>
    <row r="527" spans="1:38" x14ac:dyDescent="0.2">
      <c r="A527" s="2" t="str">
        <f>HYPERLINK("https://www.compass.com/listing/30-park-place-unit-58d-manhattan-ny-10007/29512133234426817/","30 Park Pl, Unit 58D")</f>
        <v>30 Park Pl, Unit 58D</v>
      </c>
      <c r="B527" s="2" t="str">
        <f t="shared" ref="B527:B528" si="87">HYPERLINK("https://www.compass.com/building/30-park-pl-manhattan-ny-10007/281896912905317605/","30 Park Pl")</f>
        <v>30 Park Pl</v>
      </c>
      <c r="C527" s="1" t="s">
        <v>40</v>
      </c>
      <c r="D527" s="1" t="s">
        <v>41</v>
      </c>
      <c r="E527" s="3">
        <v>4325000</v>
      </c>
      <c r="F527" s="1">
        <v>2812.0936280884198</v>
      </c>
      <c r="G527" s="1">
        <v>4</v>
      </c>
      <c r="H527" s="1">
        <v>2</v>
      </c>
      <c r="I527" s="1">
        <v>3</v>
      </c>
      <c r="J527" s="1">
        <v>2.5</v>
      </c>
      <c r="M527" s="4">
        <v>1538</v>
      </c>
      <c r="N527" s="1">
        <v>1262</v>
      </c>
      <c r="O527" s="1">
        <v>4479</v>
      </c>
      <c r="P527" s="1">
        <v>3217</v>
      </c>
      <c r="Q527" s="1" t="s">
        <v>42</v>
      </c>
      <c r="S527" s="1" t="s">
        <v>42</v>
      </c>
      <c r="T527" s="1" t="s">
        <v>203</v>
      </c>
      <c r="U527" s="1">
        <v>147</v>
      </c>
      <c r="V527" s="5">
        <v>43637</v>
      </c>
      <c r="W527" s="5">
        <v>43117</v>
      </c>
      <c r="X527" s="1">
        <v>4500000</v>
      </c>
      <c r="Y527" s="1">
        <v>4500000</v>
      </c>
      <c r="Z527" s="5">
        <v>43264</v>
      </c>
      <c r="AA527" s="1">
        <v>4325000</v>
      </c>
      <c r="AB527" s="1" t="s">
        <v>369</v>
      </c>
      <c r="AC527" s="5">
        <v>43342</v>
      </c>
      <c r="AF527" s="1">
        <v>10007</v>
      </c>
      <c r="AJ527" s="1">
        <v>2016</v>
      </c>
      <c r="AK527" s="1" t="s">
        <v>50</v>
      </c>
      <c r="AL527" s="1">
        <v>157</v>
      </c>
    </row>
    <row r="528" spans="1:38" x14ac:dyDescent="0.2">
      <c r="A528" s="2" t="str">
        <f>HYPERLINK("https://www.compass.com/listing/30-park-place-unit-39c-manhattan-ny-10007/313710857451817329/","30 Park Pl, Unit 39C")</f>
        <v>30 Park Pl, Unit 39C</v>
      </c>
      <c r="B528" s="2" t="str">
        <f t="shared" si="87"/>
        <v>30 Park Pl</v>
      </c>
      <c r="C528" s="1" t="s">
        <v>40</v>
      </c>
      <c r="D528" s="1" t="s">
        <v>41</v>
      </c>
      <c r="E528" s="3">
        <v>1650000</v>
      </c>
      <c r="F528" s="1">
        <v>2032.01970443349</v>
      </c>
      <c r="G528" s="1">
        <v>3</v>
      </c>
      <c r="H528" s="1">
        <v>1</v>
      </c>
      <c r="I528" s="1">
        <v>1</v>
      </c>
      <c r="J528" s="1">
        <v>1</v>
      </c>
      <c r="K528" s="1">
        <v>1</v>
      </c>
      <c r="M528" s="1">
        <v>812</v>
      </c>
      <c r="N528" s="1">
        <v>665</v>
      </c>
      <c r="O528" s="1">
        <v>2369</v>
      </c>
      <c r="P528" s="1">
        <v>1704</v>
      </c>
      <c r="Q528" s="1" t="s">
        <v>42</v>
      </c>
      <c r="S528" s="1" t="s">
        <v>42</v>
      </c>
      <c r="T528" s="1" t="s">
        <v>203</v>
      </c>
      <c r="U528" s="1">
        <v>133</v>
      </c>
      <c r="V528" s="5">
        <v>43872</v>
      </c>
      <c r="W528" s="5">
        <v>43685</v>
      </c>
      <c r="X528" s="1">
        <v>1900000</v>
      </c>
      <c r="Y528" s="1">
        <v>1900000</v>
      </c>
      <c r="Z528" s="5">
        <v>43818</v>
      </c>
      <c r="AA528" s="1">
        <v>1650000</v>
      </c>
      <c r="AB528" s="1" t="s">
        <v>370</v>
      </c>
      <c r="AC528" s="5">
        <v>43859</v>
      </c>
      <c r="AF528" s="1">
        <v>10007</v>
      </c>
      <c r="AI528" s="1" t="s">
        <v>58</v>
      </c>
      <c r="AJ528" s="1">
        <v>2016</v>
      </c>
      <c r="AK528" s="1" t="s">
        <v>81</v>
      </c>
      <c r="AL528" s="1">
        <v>157</v>
      </c>
    </row>
    <row r="529" spans="1:38" x14ac:dyDescent="0.2">
      <c r="A529" s="2" t="str">
        <f>HYPERLINK("https://www.compass.com/listing/952-columbus-avenue-unit-4c-manhattan-ny-10025/29430196633350577/","952 Columbus Ave, Unit 4C")</f>
        <v>952 Columbus Ave, Unit 4C</v>
      </c>
      <c r="B529" s="2" t="str">
        <f t="shared" ref="B529:B530" si="88">HYPERLINK("https://www.compass.com/building/952-columbus-ave-manhattan-ny-10025/281973617187710805/","952 Columbus Ave")</f>
        <v>952 Columbus Ave</v>
      </c>
      <c r="C529" s="1" t="s">
        <v>47</v>
      </c>
      <c r="D529" s="1" t="s">
        <v>41</v>
      </c>
      <c r="E529" s="3">
        <v>1654656</v>
      </c>
      <c r="F529" s="1">
        <v>1289.6773187840899</v>
      </c>
      <c r="G529" s="1">
        <v>4</v>
      </c>
      <c r="H529" s="1">
        <v>2</v>
      </c>
      <c r="I529" s="1">
        <v>2</v>
      </c>
      <c r="J529" s="1">
        <v>2</v>
      </c>
      <c r="M529" s="4">
        <v>1283</v>
      </c>
      <c r="N529" s="1">
        <v>760</v>
      </c>
      <c r="O529" s="1">
        <v>1665</v>
      </c>
      <c r="P529" s="1">
        <v>905</v>
      </c>
      <c r="Q529" s="1" t="s">
        <v>42</v>
      </c>
      <c r="S529" s="1" t="s">
        <v>42</v>
      </c>
      <c r="T529" s="1" t="s">
        <v>203</v>
      </c>
      <c r="U529" s="1">
        <v>12</v>
      </c>
      <c r="V529" s="5">
        <v>43650</v>
      </c>
      <c r="W529" s="5">
        <v>42775</v>
      </c>
      <c r="X529" s="1">
        <v>1625000</v>
      </c>
      <c r="Y529" s="1">
        <v>1625000</v>
      </c>
      <c r="Z529" s="5">
        <v>42787</v>
      </c>
      <c r="AA529" s="1">
        <v>1654656</v>
      </c>
      <c r="AB529" s="1" t="s">
        <v>371</v>
      </c>
      <c r="AC529" s="5">
        <v>42949</v>
      </c>
      <c r="AF529" s="1">
        <v>10025</v>
      </c>
      <c r="AI529" s="1" t="s">
        <v>51</v>
      </c>
      <c r="AJ529" s="1">
        <v>2016</v>
      </c>
      <c r="AL529" s="1">
        <v>15</v>
      </c>
    </row>
    <row r="530" spans="1:38" x14ac:dyDescent="0.2">
      <c r="A530" s="2" t="str">
        <f>HYPERLINK("https://www.compass.com/listing/952-columbus-avenue-unit-5a-manhattan-ny-10025/29430197119952657/","952 Columbus Ave, Unit 5A")</f>
        <v>952 Columbus Ave, Unit 5A</v>
      </c>
      <c r="B530" s="2" t="str">
        <f t="shared" si="88"/>
        <v>952 Columbus Ave</v>
      </c>
      <c r="C530" s="1" t="s">
        <v>47</v>
      </c>
      <c r="D530" s="1" t="s">
        <v>41</v>
      </c>
      <c r="E530" s="3">
        <v>1807394</v>
      </c>
      <c r="F530" s="1">
        <v>1417.5639215686199</v>
      </c>
      <c r="G530" s="1">
        <v>6</v>
      </c>
      <c r="H530" s="1">
        <v>3</v>
      </c>
      <c r="I530" s="1">
        <v>2</v>
      </c>
      <c r="J530" s="1">
        <v>2</v>
      </c>
      <c r="M530" s="4">
        <v>1275</v>
      </c>
      <c r="N530" s="1">
        <v>755</v>
      </c>
      <c r="O530" s="1">
        <v>1655</v>
      </c>
      <c r="P530" s="1">
        <v>900</v>
      </c>
      <c r="Q530" s="1" t="s">
        <v>42</v>
      </c>
      <c r="S530" s="1" t="s">
        <v>42</v>
      </c>
      <c r="T530" s="1" t="s">
        <v>203</v>
      </c>
      <c r="U530" s="1">
        <v>76</v>
      </c>
      <c r="V530" s="5">
        <v>43666</v>
      </c>
      <c r="W530" s="5">
        <v>42711</v>
      </c>
      <c r="X530" s="1">
        <v>1795000</v>
      </c>
      <c r="Y530" s="1">
        <v>1795000</v>
      </c>
      <c r="Z530" s="5">
        <v>42787</v>
      </c>
      <c r="AA530" s="1">
        <v>1807394</v>
      </c>
      <c r="AB530" s="1" t="s">
        <v>372</v>
      </c>
      <c r="AC530" s="5">
        <v>42942</v>
      </c>
      <c r="AF530" s="1">
        <v>10025</v>
      </c>
      <c r="AI530" s="1" t="s">
        <v>52</v>
      </c>
      <c r="AJ530" s="1">
        <v>2016</v>
      </c>
      <c r="AL530" s="1">
        <v>15</v>
      </c>
    </row>
    <row r="531" spans="1:38" x14ac:dyDescent="0.2">
      <c r="A531" s="2" t="str">
        <f>HYPERLINK("https://www.compass.com/listing/189-avenue-c-unit-10b-manhattan-ny-10009/29361152156839089/","189 Avenue C, Unit 10B")</f>
        <v>189 Avenue C, Unit 10B</v>
      </c>
      <c r="B531" s="2" t="str">
        <f>HYPERLINK("https://www.compass.com/building/the-calyx-manhattan-ny/426959097439640773/","The Calyx")</f>
        <v>The Calyx</v>
      </c>
      <c r="C531" s="1" t="s">
        <v>88</v>
      </c>
      <c r="D531" s="1" t="s">
        <v>41</v>
      </c>
      <c r="E531" s="3">
        <v>1375000</v>
      </c>
      <c r="F531" s="1">
        <v>1223.30960854092</v>
      </c>
      <c r="G531" s="1">
        <v>4</v>
      </c>
      <c r="H531" s="1">
        <v>2</v>
      </c>
      <c r="I531" s="1">
        <v>2</v>
      </c>
      <c r="J531" s="1">
        <v>2</v>
      </c>
      <c r="M531" s="4">
        <v>1124</v>
      </c>
      <c r="N531" s="1">
        <v>816</v>
      </c>
      <c r="O531" s="1">
        <v>1411</v>
      </c>
      <c r="P531" s="1">
        <v>595</v>
      </c>
      <c r="Q531" s="1" t="s">
        <v>42</v>
      </c>
      <c r="S531" s="1" t="s">
        <v>42</v>
      </c>
      <c r="T531" s="1" t="s">
        <v>203</v>
      </c>
      <c r="U531" s="1">
        <v>70</v>
      </c>
      <c r="V531" s="5">
        <v>43631</v>
      </c>
      <c r="W531" s="5">
        <v>42223</v>
      </c>
      <c r="X531" s="1">
        <v>1410000</v>
      </c>
      <c r="Y531" s="1">
        <v>1410000</v>
      </c>
      <c r="Z531" s="5">
        <v>42293</v>
      </c>
      <c r="AA531" s="1">
        <v>1375000</v>
      </c>
      <c r="AB531" s="1" t="s">
        <v>373</v>
      </c>
      <c r="AC531" s="5">
        <v>42502</v>
      </c>
      <c r="AF531" s="1">
        <v>10009</v>
      </c>
      <c r="AI531" s="1" t="s">
        <v>73</v>
      </c>
      <c r="AJ531" s="1">
        <v>2011</v>
      </c>
      <c r="AK531" s="1" t="s">
        <v>140</v>
      </c>
      <c r="AL531" s="1">
        <v>35</v>
      </c>
    </row>
    <row r="532" spans="1:38" x14ac:dyDescent="0.2">
      <c r="A532" s="2" t="str">
        <f>HYPERLINK("https://www.compass.com/listing/30-park-place-unit-53c-manhattan-ny-10007/29357571865316625/","30 Park Pl, Unit 53C")</f>
        <v>30 Park Pl, Unit 53C</v>
      </c>
      <c r="B532" s="2" t="str">
        <f t="shared" ref="B532:B534" si="89">HYPERLINK("https://www.compass.com/building/30-park-pl-manhattan-ny-10007/281896912905317605/","30 Park Pl")</f>
        <v>30 Park Pl</v>
      </c>
      <c r="C532" s="1" t="s">
        <v>40</v>
      </c>
      <c r="D532" s="1" t="s">
        <v>41</v>
      </c>
      <c r="E532" s="3">
        <v>3808255</v>
      </c>
      <c r="F532" s="1">
        <v>2468.0848995463298</v>
      </c>
      <c r="G532" s="1">
        <v>4</v>
      </c>
      <c r="H532" s="1">
        <v>2</v>
      </c>
      <c r="I532" s="1">
        <v>2</v>
      </c>
      <c r="J532" s="1">
        <v>2</v>
      </c>
      <c r="K532" s="1">
        <v>2</v>
      </c>
      <c r="M532" s="4">
        <v>1543</v>
      </c>
      <c r="N532" s="1">
        <v>1228</v>
      </c>
      <c r="O532" s="1">
        <v>4359</v>
      </c>
      <c r="P532" s="1">
        <v>3131</v>
      </c>
      <c r="Q532" s="1" t="s">
        <v>42</v>
      </c>
      <c r="S532" s="1" t="s">
        <v>42</v>
      </c>
      <c r="T532" s="1" t="s">
        <v>203</v>
      </c>
      <c r="U532" s="1">
        <v>17</v>
      </c>
      <c r="V532" s="5">
        <v>43672</v>
      </c>
      <c r="W532" s="5">
        <v>41814</v>
      </c>
      <c r="X532" s="1">
        <v>4315000</v>
      </c>
      <c r="Y532" s="1">
        <v>3740000</v>
      </c>
      <c r="Z532" s="5">
        <v>41831</v>
      </c>
      <c r="AA532" s="1">
        <v>3808255</v>
      </c>
      <c r="AB532" s="1" t="s">
        <v>374</v>
      </c>
      <c r="AC532" s="5">
        <v>42702</v>
      </c>
      <c r="AF532" s="1">
        <v>10007</v>
      </c>
      <c r="AJ532" s="1">
        <v>2016</v>
      </c>
      <c r="AK532" s="1" t="s">
        <v>81</v>
      </c>
      <c r="AL532" s="1">
        <v>157</v>
      </c>
    </row>
    <row r="533" spans="1:38" x14ac:dyDescent="0.2">
      <c r="A533" s="2" t="str">
        <f>HYPERLINK("https://www.compass.com/listing/30-park-place-unit-57c-manhattan-ny-10007/29357577292746097/","30 Park Pl, Unit 57C")</f>
        <v>30 Park Pl, Unit 57C</v>
      </c>
      <c r="B533" s="2" t="str">
        <f t="shared" si="89"/>
        <v>30 Park Pl</v>
      </c>
      <c r="C533" s="1" t="s">
        <v>40</v>
      </c>
      <c r="D533" s="1" t="s">
        <v>41</v>
      </c>
      <c r="E533" s="3">
        <v>3716613</v>
      </c>
      <c r="F533" s="1">
        <v>2591.7803347280301</v>
      </c>
      <c r="G533" s="1">
        <v>4</v>
      </c>
      <c r="H533" s="1">
        <v>2</v>
      </c>
      <c r="I533" s="1">
        <v>2</v>
      </c>
      <c r="J533" s="1">
        <v>2</v>
      </c>
      <c r="K533" s="1">
        <v>2</v>
      </c>
      <c r="M533" s="4">
        <v>1434</v>
      </c>
      <c r="N533" s="1">
        <v>1151</v>
      </c>
      <c r="O533" s="1">
        <v>4084</v>
      </c>
      <c r="P533" s="1">
        <v>2933</v>
      </c>
      <c r="Q533" s="1" t="s">
        <v>42</v>
      </c>
      <c r="S533" s="1" t="s">
        <v>42</v>
      </c>
      <c r="T533" s="1" t="s">
        <v>203</v>
      </c>
      <c r="U533" s="1">
        <v>2</v>
      </c>
      <c r="V533" s="5">
        <v>43672</v>
      </c>
      <c r="W533" s="5">
        <v>41835</v>
      </c>
      <c r="X533" s="1">
        <v>3650000</v>
      </c>
      <c r="Y533" s="1">
        <v>3650000</v>
      </c>
      <c r="Z533" s="5">
        <v>41837</v>
      </c>
      <c r="AA533" s="1">
        <v>3716613</v>
      </c>
      <c r="AB533" s="1" t="s">
        <v>375</v>
      </c>
      <c r="AC533" s="5">
        <v>42742</v>
      </c>
      <c r="AF533" s="1">
        <v>10007</v>
      </c>
      <c r="AJ533" s="1">
        <v>2016</v>
      </c>
      <c r="AK533" s="1" t="s">
        <v>81</v>
      </c>
      <c r="AL533" s="1">
        <v>157</v>
      </c>
    </row>
    <row r="534" spans="1:38" x14ac:dyDescent="0.2">
      <c r="A534" s="2" t="str">
        <f>HYPERLINK("https://www.compass.com/listing/30-park-place-unit-54c-manhattan-ny-10007/29357573165649041/","30 Park Pl, Unit 54C")</f>
        <v>30 Park Pl, Unit 54C</v>
      </c>
      <c r="B534" s="2" t="str">
        <f t="shared" si="89"/>
        <v>30 Park Pl</v>
      </c>
      <c r="C534" s="1" t="s">
        <v>40</v>
      </c>
      <c r="D534" s="1" t="s">
        <v>41</v>
      </c>
      <c r="E534" s="3">
        <v>3848985</v>
      </c>
      <c r="F534" s="1">
        <v>2494.48152948801</v>
      </c>
      <c r="G534" s="1">
        <v>4</v>
      </c>
      <c r="H534" s="1">
        <v>2</v>
      </c>
      <c r="I534" s="1">
        <v>2</v>
      </c>
      <c r="J534" s="1">
        <v>2</v>
      </c>
      <c r="K534" s="1">
        <v>2</v>
      </c>
      <c r="M534" s="4">
        <v>1543</v>
      </c>
      <c r="N534" s="1">
        <v>1230</v>
      </c>
      <c r="O534" s="1">
        <v>4366</v>
      </c>
      <c r="P534" s="1">
        <v>3136</v>
      </c>
      <c r="Q534" s="1" t="s">
        <v>42</v>
      </c>
      <c r="S534" s="1" t="s">
        <v>42</v>
      </c>
      <c r="T534" s="1" t="s">
        <v>203</v>
      </c>
      <c r="U534" s="1">
        <v>4</v>
      </c>
      <c r="V534" s="5">
        <v>43665</v>
      </c>
      <c r="W534" s="5">
        <v>41796</v>
      </c>
      <c r="X534" s="1">
        <v>4205000</v>
      </c>
      <c r="Y534" s="1">
        <v>3780000</v>
      </c>
      <c r="Z534" s="5">
        <v>41800</v>
      </c>
      <c r="AA534" s="1">
        <v>3848985</v>
      </c>
      <c r="AB534" s="1" t="s">
        <v>376</v>
      </c>
      <c r="AC534" s="5">
        <v>42716</v>
      </c>
      <c r="AF534" s="1">
        <v>10007</v>
      </c>
      <c r="AJ534" s="1">
        <v>2016</v>
      </c>
      <c r="AK534" s="1" t="s">
        <v>81</v>
      </c>
      <c r="AL534" s="1">
        <v>157</v>
      </c>
    </row>
    <row r="535" spans="1:38" x14ac:dyDescent="0.2">
      <c r="A535" s="2" t="str">
        <f>HYPERLINK("https://www.compass.com/listing/952-columbus-avenue-unit-4c-manhattan-ny-10025/527561327144051873/","952 Columbus Ave, Unit 4C")</f>
        <v>952 Columbus Ave, Unit 4C</v>
      </c>
      <c r="B535" s="2" t="str">
        <f>HYPERLINK("https://www.compass.com/building/952-columbus-ave-manhattan-ny-10025/281973617187710805/","952 Columbus Ave")</f>
        <v>952 Columbus Ave</v>
      </c>
      <c r="C535" s="1" t="s">
        <v>47</v>
      </c>
      <c r="D535" s="1" t="s">
        <v>41</v>
      </c>
      <c r="E535" s="3">
        <v>1530000</v>
      </c>
      <c r="F535" s="1">
        <v>1192.5175370226</v>
      </c>
      <c r="G535" s="1">
        <v>5</v>
      </c>
      <c r="H535" s="1">
        <v>2</v>
      </c>
      <c r="I535" s="1">
        <v>2</v>
      </c>
      <c r="J535" s="1">
        <v>2</v>
      </c>
      <c r="K535" s="1">
        <v>2</v>
      </c>
      <c r="M535" s="4">
        <v>1283</v>
      </c>
      <c r="N535" s="1">
        <v>875</v>
      </c>
      <c r="O535" s="1">
        <v>1975</v>
      </c>
      <c r="P535" s="1">
        <v>1100</v>
      </c>
      <c r="Q535" s="1" t="s">
        <v>42</v>
      </c>
      <c r="S535" s="1" t="s">
        <v>42</v>
      </c>
      <c r="T535" s="1" t="s">
        <v>203</v>
      </c>
      <c r="U535" s="1">
        <v>269</v>
      </c>
      <c r="V535" s="5">
        <v>44335</v>
      </c>
      <c r="W535" s="5">
        <v>43979</v>
      </c>
      <c r="X535" s="1">
        <v>1625000</v>
      </c>
      <c r="Y535" s="1">
        <v>1625000</v>
      </c>
      <c r="AA535" s="1">
        <v>1530000</v>
      </c>
      <c r="AB535" s="1" t="s">
        <v>377</v>
      </c>
      <c r="AC535" s="5">
        <v>44273</v>
      </c>
      <c r="AF535" s="1">
        <v>10025</v>
      </c>
      <c r="AI535" s="1" t="s">
        <v>51</v>
      </c>
      <c r="AJ535" s="1">
        <v>2016</v>
      </c>
      <c r="AL535" s="1">
        <v>15</v>
      </c>
    </row>
    <row r="536" spans="1:38" x14ac:dyDescent="0.2">
      <c r="A536" s="2" t="str">
        <f>HYPERLINK("https://www.compass.com/listing/360-central-park-west-unit-11k-manhattan-ny-10025/29508831092508449/","360 Central Park W, Unit 11K")</f>
        <v>360 Central Park W, Unit 11K</v>
      </c>
      <c r="B536" s="2" t="str">
        <f>HYPERLINK("https://www.compass.com/building/360-central-park-west-manhattan-ny/281971555427243781/","360 Central Park West")</f>
        <v>360 Central Park West</v>
      </c>
      <c r="C536" s="1" t="s">
        <v>47</v>
      </c>
      <c r="D536" s="1" t="s">
        <v>41</v>
      </c>
      <c r="E536" s="3">
        <v>2235059</v>
      </c>
      <c r="F536" s="1">
        <v>1848.6840363937099</v>
      </c>
      <c r="G536" s="1">
        <v>4</v>
      </c>
      <c r="H536" s="1">
        <v>2</v>
      </c>
      <c r="I536" s="1">
        <v>2</v>
      </c>
      <c r="J536" s="1">
        <v>2</v>
      </c>
      <c r="K536" s="1">
        <v>2</v>
      </c>
      <c r="M536" s="4">
        <v>1209</v>
      </c>
      <c r="N536" s="1">
        <v>1192</v>
      </c>
      <c r="O536" s="1">
        <v>1957</v>
      </c>
      <c r="P536" s="1">
        <v>765</v>
      </c>
      <c r="Q536" s="1" t="s">
        <v>42</v>
      </c>
      <c r="S536" s="1" t="s">
        <v>42</v>
      </c>
      <c r="T536" s="1" t="s">
        <v>203</v>
      </c>
      <c r="V536" s="5">
        <v>43678</v>
      </c>
      <c r="W536" s="5">
        <v>43098</v>
      </c>
      <c r="X536" s="1">
        <v>2195000</v>
      </c>
      <c r="Y536" s="1">
        <v>2195000</v>
      </c>
      <c r="Z536" s="5">
        <v>43098</v>
      </c>
      <c r="AA536" s="1">
        <v>2235059</v>
      </c>
      <c r="AB536" s="1" t="s">
        <v>378</v>
      </c>
      <c r="AC536" s="5">
        <v>43579</v>
      </c>
      <c r="AF536" s="1">
        <v>10025</v>
      </c>
      <c r="AI536" s="1" t="s">
        <v>348</v>
      </c>
      <c r="AJ536" s="1">
        <v>1929</v>
      </c>
      <c r="AK536" s="1" t="s">
        <v>87</v>
      </c>
      <c r="AL536" s="1">
        <v>126</v>
      </c>
    </row>
    <row r="537" spans="1:38" x14ac:dyDescent="0.2">
      <c r="A537" s="2" t="str">
        <f>HYPERLINK("https://www.compass.com/listing/952-columbus-avenue-unit-3c-manhattan-ny-10025/29430195333116321/","952 Columbus Ave, Unit 3C")</f>
        <v>952 Columbus Ave, Unit 3C</v>
      </c>
      <c r="B537" s="2" t="str">
        <f>HYPERLINK("https://www.compass.com/building/952-columbus-ave-manhattan-ny-10025/281973617187710805/","952 Columbus Ave")</f>
        <v>952 Columbus Ave</v>
      </c>
      <c r="C537" s="1" t="s">
        <v>47</v>
      </c>
      <c r="D537" s="1" t="s">
        <v>41</v>
      </c>
      <c r="E537" s="3">
        <v>1639383</v>
      </c>
      <c r="F537" s="1">
        <v>1277.77318784099</v>
      </c>
      <c r="G537" s="1">
        <v>4</v>
      </c>
      <c r="H537" s="1">
        <v>2</v>
      </c>
      <c r="I537" s="1">
        <v>2</v>
      </c>
      <c r="J537" s="1">
        <v>2</v>
      </c>
      <c r="K537" s="1">
        <v>2</v>
      </c>
      <c r="M537" s="4">
        <v>1283</v>
      </c>
      <c r="N537" s="1">
        <v>760</v>
      </c>
      <c r="O537" s="1">
        <v>1665</v>
      </c>
      <c r="P537" s="1">
        <v>905</v>
      </c>
      <c r="Q537" s="1" t="s">
        <v>42</v>
      </c>
      <c r="S537" s="1" t="s">
        <v>42</v>
      </c>
      <c r="T537" s="1" t="s">
        <v>203</v>
      </c>
      <c r="U537" s="1">
        <v>50</v>
      </c>
      <c r="V537" s="5">
        <v>44383</v>
      </c>
      <c r="W537" s="5">
        <v>42711</v>
      </c>
      <c r="X537" s="1">
        <v>1595000</v>
      </c>
      <c r="Y537" s="1">
        <v>1595000</v>
      </c>
      <c r="Z537" s="5">
        <v>42761</v>
      </c>
      <c r="AA537" s="1">
        <v>1639383</v>
      </c>
      <c r="AB537" s="1" t="s">
        <v>379</v>
      </c>
      <c r="AC537" s="5">
        <v>42963</v>
      </c>
      <c r="AF537" s="1">
        <v>10025</v>
      </c>
      <c r="AI537" s="1" t="s">
        <v>51</v>
      </c>
      <c r="AJ537" s="1">
        <v>2016</v>
      </c>
      <c r="AK537" s="1" t="s">
        <v>140</v>
      </c>
      <c r="AL537" s="1">
        <v>15</v>
      </c>
    </row>
    <row r="538" spans="1:38" x14ac:dyDescent="0.2">
      <c r="A538" s="2" t="str">
        <f>HYPERLINK("https://www.compass.com/listing/421-west-22nd-street-unit-one-manhattan-ny-10011/29370277091611121/","421 W 22nd St, Unit ONE")</f>
        <v>421 W 22nd St, Unit ONE</v>
      </c>
      <c r="B538" s="2" t="str">
        <f>HYPERLINK("https://www.compass.com/building/421-w-22nd-st-manhattan-ny-10011/281910201349594997/","421 W 22nd St")</f>
        <v>421 W 22nd St</v>
      </c>
      <c r="C538" s="1" t="s">
        <v>62</v>
      </c>
      <c r="D538" s="1" t="s">
        <v>41</v>
      </c>
      <c r="E538" s="3">
        <v>2851100</v>
      </c>
      <c r="F538" s="1">
        <v>1556.27729257641</v>
      </c>
      <c r="G538" s="1">
        <v>5</v>
      </c>
      <c r="H538" s="1">
        <v>3</v>
      </c>
      <c r="I538" s="1">
        <v>1</v>
      </c>
      <c r="J538" s="1">
        <v>1</v>
      </c>
      <c r="K538" s="1">
        <v>1</v>
      </c>
      <c r="M538" s="4">
        <v>1832</v>
      </c>
      <c r="N538" s="1">
        <v>1203</v>
      </c>
      <c r="O538" s="1">
        <v>3212</v>
      </c>
      <c r="P538" s="1">
        <v>2009</v>
      </c>
      <c r="Q538" s="1" t="s">
        <v>42</v>
      </c>
      <c r="S538" s="1" t="s">
        <v>42</v>
      </c>
      <c r="T538" s="1" t="s">
        <v>203</v>
      </c>
      <c r="U538" s="1">
        <v>183</v>
      </c>
      <c r="V538" s="5">
        <v>43665</v>
      </c>
      <c r="W538" s="5">
        <v>41915</v>
      </c>
      <c r="X538" s="1">
        <v>2995000</v>
      </c>
      <c r="Y538" s="1">
        <v>3200000</v>
      </c>
      <c r="Z538" s="5">
        <v>42098</v>
      </c>
      <c r="AA538" s="1">
        <v>2851100</v>
      </c>
      <c r="AB538" s="1" t="s">
        <v>380</v>
      </c>
      <c r="AC538" s="5">
        <v>42125</v>
      </c>
      <c r="AF538" s="1">
        <v>10011</v>
      </c>
      <c r="AI538" s="1" t="s">
        <v>320</v>
      </c>
      <c r="AJ538" s="1">
        <v>1900</v>
      </c>
      <c r="AL538" s="1">
        <v>8</v>
      </c>
    </row>
    <row r="539" spans="1:38" x14ac:dyDescent="0.2">
      <c r="A539" s="2" t="str">
        <f>HYPERLINK("https://www.compass.com/listing/30-park-place-unit-50c-manhattan-ny-10007/29357568308644929/","30 Park Pl, Unit 50C")</f>
        <v>30 Park Pl, Unit 50C</v>
      </c>
      <c r="B539" s="2" t="str">
        <f>HYPERLINK("https://www.compass.com/building/30-park-pl-manhattan-ny-10007/281896912905317605/","30 Park Pl")</f>
        <v>30 Park Pl</v>
      </c>
      <c r="C539" s="1" t="s">
        <v>40</v>
      </c>
      <c r="D539" s="1" t="s">
        <v>41</v>
      </c>
      <c r="E539" s="3">
        <v>3283856</v>
      </c>
      <c r="F539" s="1">
        <v>2963.7689530685898</v>
      </c>
      <c r="G539" s="1">
        <v>3</v>
      </c>
      <c r="H539" s="1">
        <v>1</v>
      </c>
      <c r="I539" s="1">
        <v>1</v>
      </c>
      <c r="J539" s="1">
        <v>1</v>
      </c>
      <c r="K539" s="1">
        <v>1</v>
      </c>
      <c r="M539" s="4">
        <v>1108</v>
      </c>
      <c r="N539" s="1">
        <v>888</v>
      </c>
      <c r="O539" s="1">
        <v>3152</v>
      </c>
      <c r="P539" s="1">
        <v>2264</v>
      </c>
      <c r="Q539" s="1" t="s">
        <v>42</v>
      </c>
      <c r="S539" s="1" t="s">
        <v>42</v>
      </c>
      <c r="T539" s="1" t="s">
        <v>203</v>
      </c>
      <c r="U539" s="1">
        <v>13</v>
      </c>
      <c r="V539" s="5">
        <v>43672</v>
      </c>
      <c r="W539" s="5">
        <v>41927</v>
      </c>
      <c r="X539" s="1">
        <v>3225000</v>
      </c>
      <c r="Y539" s="1">
        <v>3225000</v>
      </c>
      <c r="Z539" s="5">
        <v>41940</v>
      </c>
      <c r="AA539" s="1">
        <v>3283856</v>
      </c>
      <c r="AB539" s="1" t="s">
        <v>381</v>
      </c>
      <c r="AC539" s="5">
        <v>42690</v>
      </c>
      <c r="AF539" s="1">
        <v>10007</v>
      </c>
      <c r="AJ539" s="1">
        <v>2016</v>
      </c>
      <c r="AK539" s="1" t="s">
        <v>81</v>
      </c>
      <c r="AL539" s="1">
        <v>157</v>
      </c>
    </row>
    <row r="540" spans="1:38" x14ac:dyDescent="0.2">
      <c r="A540" s="2" t="str">
        <f>HYPERLINK("https://www.compass.com/listing/189-avenue-c-unit-9d-manhattan-ny-10009/24675866839681249/","189 Avenue C, Unit 9D")</f>
        <v>189 Avenue C, Unit 9D</v>
      </c>
      <c r="B540" s="2" t="str">
        <f>HYPERLINK("https://www.compass.com/building/the-calyx-manhattan-ny/426959097439640773/","The Calyx")</f>
        <v>The Calyx</v>
      </c>
      <c r="C540" s="1" t="s">
        <v>88</v>
      </c>
      <c r="D540" s="1" t="s">
        <v>41</v>
      </c>
      <c r="E540" s="3">
        <v>780000</v>
      </c>
      <c r="F540" s="1">
        <v>1040</v>
      </c>
      <c r="G540" s="1">
        <v>3</v>
      </c>
      <c r="H540" s="1">
        <v>1</v>
      </c>
      <c r="I540" s="1">
        <v>1</v>
      </c>
      <c r="J540" s="1">
        <v>1</v>
      </c>
      <c r="K540" s="1">
        <v>1</v>
      </c>
      <c r="M540" s="1">
        <v>750</v>
      </c>
      <c r="N540" s="1">
        <v>750</v>
      </c>
      <c r="O540" s="1">
        <v>1451</v>
      </c>
      <c r="P540" s="1">
        <v>701</v>
      </c>
      <c r="Q540" s="1" t="s">
        <v>42</v>
      </c>
      <c r="S540" s="1" t="s">
        <v>42</v>
      </c>
      <c r="T540" s="1" t="s">
        <v>203</v>
      </c>
      <c r="U540" s="1">
        <v>86</v>
      </c>
      <c r="V540" s="5">
        <v>44342</v>
      </c>
      <c r="W540" s="5">
        <v>43173</v>
      </c>
      <c r="X540" s="1">
        <v>880000</v>
      </c>
      <c r="Y540" s="1">
        <v>835000</v>
      </c>
      <c r="AA540" s="1">
        <v>780000</v>
      </c>
      <c r="AB540" s="1" t="s">
        <v>382</v>
      </c>
      <c r="AC540" s="5">
        <v>43325</v>
      </c>
      <c r="AF540" s="1">
        <v>10009</v>
      </c>
      <c r="AI540" s="1" t="s">
        <v>99</v>
      </c>
      <c r="AJ540" s="1">
        <v>2011</v>
      </c>
      <c r="AK540" s="1" t="s">
        <v>140</v>
      </c>
      <c r="AL540" s="1">
        <v>35</v>
      </c>
    </row>
    <row r="541" spans="1:38" x14ac:dyDescent="0.2">
      <c r="A541" s="2" t="str">
        <f>HYPERLINK("https://www.compass.com/listing/253-east-7th-street-unit-3a-manhattan-ny-10009/209209085910874321/","253 E 7th St, Unit 3A")</f>
        <v>253 E 7th St, Unit 3A</v>
      </c>
      <c r="B541" s="2" t="str">
        <f>HYPERLINK("https://www.compass.com/building/253-e-7th-st-manhattan-ny-10009/281899070816005877/","253 E 7th St")</f>
        <v>253 E 7th St</v>
      </c>
      <c r="C541" s="1" t="s">
        <v>88</v>
      </c>
      <c r="D541" s="1" t="s">
        <v>41</v>
      </c>
      <c r="E541" s="3">
        <v>1257500</v>
      </c>
      <c r="F541" s="1">
        <v>1773.62482369534</v>
      </c>
      <c r="G541" s="1">
        <v>3</v>
      </c>
      <c r="H541" s="1">
        <v>1</v>
      </c>
      <c r="I541" s="1">
        <v>1</v>
      </c>
      <c r="J541" s="1">
        <v>1</v>
      </c>
      <c r="K541" s="1">
        <v>1</v>
      </c>
      <c r="M541" s="1">
        <v>709</v>
      </c>
      <c r="N541" s="1">
        <v>554</v>
      </c>
      <c r="O541" s="1">
        <v>907</v>
      </c>
      <c r="P541" s="1">
        <v>353</v>
      </c>
      <c r="Q541" s="1" t="s">
        <v>42</v>
      </c>
      <c r="S541" s="1" t="s">
        <v>42</v>
      </c>
      <c r="T541" s="1" t="s">
        <v>203</v>
      </c>
      <c r="U541" s="1">
        <v>1</v>
      </c>
      <c r="V541" s="5">
        <v>43838</v>
      </c>
      <c r="W541" s="5">
        <v>43539</v>
      </c>
      <c r="X541" s="1">
        <v>1275000</v>
      </c>
      <c r="Y541" s="1">
        <v>1275000</v>
      </c>
      <c r="Z541" s="5">
        <v>43540</v>
      </c>
      <c r="AA541" s="1">
        <v>1257500</v>
      </c>
      <c r="AB541" s="1" t="s">
        <v>204</v>
      </c>
      <c r="AC541" s="5">
        <v>44195</v>
      </c>
      <c r="AF541" s="1">
        <v>10009</v>
      </c>
      <c r="AI541" s="1" t="s">
        <v>315</v>
      </c>
      <c r="AJ541" s="1">
        <v>2018</v>
      </c>
      <c r="AL541" s="1">
        <v>7</v>
      </c>
    </row>
    <row r="542" spans="1:38" x14ac:dyDescent="0.2">
      <c r="A542" s="2" t="str">
        <f>HYPERLINK("https://www.compass.com/listing/30-park-place-unit-43c-manhattan-ny-10007/29357559232072769/","30 Park Pl, Unit 43C")</f>
        <v>30 Park Pl, Unit 43C</v>
      </c>
      <c r="B542" s="2" t="str">
        <f t="shared" ref="B542:B543" si="90">HYPERLINK("https://www.compass.com/building/30-park-pl-manhattan-ny-10007/281896912905317605/","30 Park Pl")</f>
        <v>30 Park Pl</v>
      </c>
      <c r="C542" s="1" t="s">
        <v>40</v>
      </c>
      <c r="D542" s="1" t="s">
        <v>41</v>
      </c>
      <c r="E542" s="3">
        <v>3141301</v>
      </c>
      <c r="F542" s="1">
        <v>2835.1092057761698</v>
      </c>
      <c r="G542" s="1">
        <v>3</v>
      </c>
      <c r="H542" s="1">
        <v>1</v>
      </c>
      <c r="I542" s="1">
        <v>1</v>
      </c>
      <c r="J542" s="1">
        <v>1</v>
      </c>
      <c r="K542" s="1">
        <v>1</v>
      </c>
      <c r="M542" s="4">
        <v>1108</v>
      </c>
      <c r="N542" s="1">
        <v>881</v>
      </c>
      <c r="O542" s="1">
        <v>3126</v>
      </c>
      <c r="P542" s="1">
        <v>2245</v>
      </c>
      <c r="Q542" s="1" t="s">
        <v>42</v>
      </c>
      <c r="S542" s="1" t="s">
        <v>42</v>
      </c>
      <c r="T542" s="1" t="s">
        <v>203</v>
      </c>
      <c r="U542" s="1">
        <v>4</v>
      </c>
      <c r="V542" s="5">
        <v>43672</v>
      </c>
      <c r="W542" s="5">
        <v>42035</v>
      </c>
      <c r="X542" s="1">
        <v>3085000</v>
      </c>
      <c r="Y542" s="1">
        <v>3085000</v>
      </c>
      <c r="Z542" s="5">
        <v>42039</v>
      </c>
      <c r="AA542" s="1">
        <v>3141301</v>
      </c>
      <c r="AB542" s="1" t="s">
        <v>383</v>
      </c>
      <c r="AC542" s="5">
        <v>42689</v>
      </c>
      <c r="AF542" s="1">
        <v>10007</v>
      </c>
      <c r="AJ542" s="1">
        <v>2016</v>
      </c>
      <c r="AK542" s="1" t="s">
        <v>81</v>
      </c>
      <c r="AL542" s="1">
        <v>157</v>
      </c>
    </row>
    <row r="543" spans="1:38" x14ac:dyDescent="0.2">
      <c r="A543" s="2" t="str">
        <f>HYPERLINK("https://www.compass.com/listing/30-park-place-unit-66b-manhattan-ny-10007/79369421684013073/","30 Park Pl, Unit 66B")</f>
        <v>30 Park Pl, Unit 66B</v>
      </c>
      <c r="B543" s="2" t="str">
        <f t="shared" si="90"/>
        <v>30 Park Pl</v>
      </c>
      <c r="C543" s="1" t="s">
        <v>40</v>
      </c>
      <c r="D543" s="1" t="s">
        <v>41</v>
      </c>
      <c r="E543" s="3">
        <v>8527106</v>
      </c>
      <c r="F543" s="1">
        <v>3241.0133029266399</v>
      </c>
      <c r="G543" s="1">
        <v>5</v>
      </c>
      <c r="H543" s="1">
        <v>3</v>
      </c>
      <c r="I543" s="1">
        <v>3</v>
      </c>
      <c r="J543" s="1">
        <v>3</v>
      </c>
      <c r="M543" s="4">
        <v>2631</v>
      </c>
      <c r="N543" s="1">
        <v>2185</v>
      </c>
      <c r="O543" s="1">
        <v>7755</v>
      </c>
      <c r="P543" s="1">
        <v>5570</v>
      </c>
      <c r="Q543" s="1" t="s">
        <v>42</v>
      </c>
      <c r="S543" s="1" t="s">
        <v>42</v>
      </c>
      <c r="T543" s="1" t="s">
        <v>203</v>
      </c>
      <c r="V543" s="5">
        <v>42891</v>
      </c>
      <c r="AB543" s="1" t="s">
        <v>204</v>
      </c>
      <c r="AF543" s="1">
        <v>10007</v>
      </c>
      <c r="AJ543" s="1">
        <v>2016</v>
      </c>
      <c r="AK543" s="1" t="s">
        <v>81</v>
      </c>
      <c r="AL543" s="1">
        <v>157</v>
      </c>
    </row>
    <row r="544" spans="1:38" x14ac:dyDescent="0.2">
      <c r="A544" s="2" t="str">
        <f>HYPERLINK("https://www.compass.com/listing/189-avenue-c-unit-9b-manhattan-ny-10009/29513379320201457/","189 Avenue C, Unit 9B")</f>
        <v>189 Avenue C, Unit 9B</v>
      </c>
      <c r="B544" s="2" t="str">
        <f>HYPERLINK("https://www.compass.com/building/the-calyx-manhattan-ny/426959097439640773/","The Calyx")</f>
        <v>The Calyx</v>
      </c>
      <c r="C544" s="1" t="s">
        <v>88</v>
      </c>
      <c r="D544" s="1" t="s">
        <v>41</v>
      </c>
      <c r="E544" s="3">
        <v>1232083</v>
      </c>
      <c r="F544" s="1">
        <v>1096.1592526690299</v>
      </c>
      <c r="G544" s="1">
        <v>4</v>
      </c>
      <c r="H544" s="1">
        <v>2</v>
      </c>
      <c r="I544" s="1">
        <v>2</v>
      </c>
      <c r="J544" s="1">
        <v>2</v>
      </c>
      <c r="M544" s="4">
        <v>1124</v>
      </c>
      <c r="N544" s="1">
        <v>817</v>
      </c>
      <c r="O544" s="1">
        <v>1413</v>
      </c>
      <c r="P544" s="1">
        <v>596</v>
      </c>
      <c r="Q544" s="1" t="s">
        <v>42</v>
      </c>
      <c r="S544" s="1" t="s">
        <v>42</v>
      </c>
      <c r="T544" s="1" t="s">
        <v>203</v>
      </c>
      <c r="U544" s="1">
        <v>6</v>
      </c>
      <c r="V544" s="5">
        <v>43670</v>
      </c>
      <c r="W544" s="5">
        <v>42302</v>
      </c>
      <c r="X544" s="1">
        <v>1390000</v>
      </c>
      <c r="Y544" s="1">
        <v>1390000</v>
      </c>
      <c r="Z544" s="5">
        <v>42308</v>
      </c>
      <c r="AA544" s="1">
        <v>1232083</v>
      </c>
      <c r="AB544" s="1" t="s">
        <v>384</v>
      </c>
      <c r="AC544" s="5">
        <v>42496</v>
      </c>
      <c r="AF544" s="1">
        <v>10009</v>
      </c>
      <c r="AI544" s="1" t="s">
        <v>73</v>
      </c>
      <c r="AJ544" s="1">
        <v>2011</v>
      </c>
      <c r="AK544" s="1" t="s">
        <v>140</v>
      </c>
      <c r="AL544" s="1">
        <v>35</v>
      </c>
    </row>
    <row r="545" spans="1:38" x14ac:dyDescent="0.2">
      <c r="A545" s="2" t="str">
        <f>HYPERLINK("https://www.compass.com/listing/30-park-place-unit-53d-manhattan-ny-10007/29357572167404673/","30 Park Pl, Unit 53D")</f>
        <v>30 Park Pl, Unit 53D</v>
      </c>
      <c r="B545" s="2" t="str">
        <f t="shared" ref="B545:B559" si="91">HYPERLINK("https://www.compass.com/building/30-park-pl-manhattan-ny-10007/281896912905317605/","30 Park Pl")</f>
        <v>30 Park Pl</v>
      </c>
      <c r="C545" s="1" t="s">
        <v>40</v>
      </c>
      <c r="D545" s="1" t="s">
        <v>41</v>
      </c>
      <c r="E545" s="3">
        <v>4317380</v>
      </c>
      <c r="F545" s="1">
        <v>2807.1391417425202</v>
      </c>
      <c r="G545" s="1">
        <v>4</v>
      </c>
      <c r="H545" s="1">
        <v>2</v>
      </c>
      <c r="I545" s="1">
        <v>2</v>
      </c>
      <c r="J545" s="1">
        <v>2</v>
      </c>
      <c r="K545" s="1">
        <v>2</v>
      </c>
      <c r="M545" s="4">
        <v>1538</v>
      </c>
      <c r="N545" s="1">
        <v>1251</v>
      </c>
      <c r="O545" s="1">
        <v>4441</v>
      </c>
      <c r="P545" s="1">
        <v>3190</v>
      </c>
      <c r="Q545" s="1" t="s">
        <v>42</v>
      </c>
      <c r="S545" s="1" t="s">
        <v>42</v>
      </c>
      <c r="T545" s="1" t="s">
        <v>203</v>
      </c>
      <c r="U545" s="1">
        <v>4</v>
      </c>
      <c r="V545" s="5">
        <v>43668</v>
      </c>
      <c r="W545" s="5">
        <v>41796</v>
      </c>
      <c r="X545" s="1">
        <v>4240000</v>
      </c>
      <c r="Y545" s="1">
        <v>4240000</v>
      </c>
      <c r="Z545" s="5">
        <v>41800</v>
      </c>
      <c r="AA545" s="1">
        <v>4317380</v>
      </c>
      <c r="AB545" s="1" t="s">
        <v>385</v>
      </c>
      <c r="AC545" s="5">
        <v>42761</v>
      </c>
      <c r="AF545" s="1">
        <v>10007</v>
      </c>
      <c r="AJ545" s="1">
        <v>2016</v>
      </c>
      <c r="AK545" s="1" t="s">
        <v>81</v>
      </c>
      <c r="AL545" s="1">
        <v>157</v>
      </c>
    </row>
    <row r="546" spans="1:38" x14ac:dyDescent="0.2">
      <c r="A546" s="2" t="str">
        <f>HYPERLINK("https://www.compass.com/listing/30-park-place-unit-55c-manhattan-ny-10007/29357574851661137/","30 Park Pl, Unit 55C")</f>
        <v>30 Park Pl, Unit 55C</v>
      </c>
      <c r="B546" s="2" t="str">
        <f t="shared" si="91"/>
        <v>30 Park Pl</v>
      </c>
      <c r="C546" s="1" t="s">
        <v>40</v>
      </c>
      <c r="D546" s="1" t="s">
        <v>41</v>
      </c>
      <c r="E546" s="3">
        <v>4169734</v>
      </c>
      <c r="F546" s="1">
        <v>2702.35515230071</v>
      </c>
      <c r="G546" s="1">
        <v>4</v>
      </c>
      <c r="H546" s="1">
        <v>2</v>
      </c>
      <c r="I546" s="1">
        <v>2</v>
      </c>
      <c r="J546" s="1">
        <v>2</v>
      </c>
      <c r="K546" s="1">
        <v>2</v>
      </c>
      <c r="M546" s="4">
        <v>1543</v>
      </c>
      <c r="N546" s="1">
        <v>1233</v>
      </c>
      <c r="O546" s="1">
        <v>4375</v>
      </c>
      <c r="P546" s="1">
        <v>3142</v>
      </c>
      <c r="Q546" s="1" t="s">
        <v>42</v>
      </c>
      <c r="S546" s="1" t="s">
        <v>42</v>
      </c>
      <c r="T546" s="1" t="s">
        <v>203</v>
      </c>
      <c r="U546" s="1">
        <v>12</v>
      </c>
      <c r="V546" s="5">
        <v>43675</v>
      </c>
      <c r="W546" s="5">
        <v>41802</v>
      </c>
      <c r="X546" s="1">
        <v>4245000</v>
      </c>
      <c r="Y546" s="1">
        <v>4095000</v>
      </c>
      <c r="Z546" s="5">
        <v>41814</v>
      </c>
      <c r="AA546" s="1">
        <v>4169734</v>
      </c>
      <c r="AB546" s="1" t="s">
        <v>386</v>
      </c>
      <c r="AC546" s="5">
        <v>42679</v>
      </c>
      <c r="AF546" s="1">
        <v>10007</v>
      </c>
      <c r="AJ546" s="1">
        <v>2016</v>
      </c>
      <c r="AK546" s="1" t="s">
        <v>81</v>
      </c>
      <c r="AL546" s="1">
        <v>157</v>
      </c>
    </row>
    <row r="547" spans="1:38" x14ac:dyDescent="0.2">
      <c r="A547" s="2" t="str">
        <f>HYPERLINK("https://www.compass.com/listing/30-park-place-unit-55d-manhattan-ny-10007/29357575187303601/","30 Park Pl, Unit 55D")</f>
        <v>30 Park Pl, Unit 55D</v>
      </c>
      <c r="B547" s="2" t="str">
        <f t="shared" si="91"/>
        <v>30 Park Pl</v>
      </c>
      <c r="C547" s="1" t="s">
        <v>40</v>
      </c>
      <c r="D547" s="1" t="s">
        <v>41</v>
      </c>
      <c r="E547" s="3">
        <v>4449753</v>
      </c>
      <c r="F547" s="1">
        <v>2893.20741222366</v>
      </c>
      <c r="G547" s="1">
        <v>4</v>
      </c>
      <c r="H547" s="1">
        <v>2</v>
      </c>
      <c r="I547" s="1">
        <v>2</v>
      </c>
      <c r="J547" s="1">
        <v>2</v>
      </c>
      <c r="K547" s="1">
        <v>2</v>
      </c>
      <c r="M547" s="4">
        <v>1538</v>
      </c>
      <c r="N547" s="1">
        <v>1256</v>
      </c>
      <c r="O547" s="1">
        <v>4457</v>
      </c>
      <c r="P547" s="1">
        <v>3201</v>
      </c>
      <c r="Q547" s="1" t="s">
        <v>42</v>
      </c>
      <c r="S547" s="1" t="s">
        <v>42</v>
      </c>
      <c r="T547" s="1" t="s">
        <v>203</v>
      </c>
      <c r="U547" s="1">
        <v>17</v>
      </c>
      <c r="V547" s="5">
        <v>43665</v>
      </c>
      <c r="W547" s="5">
        <v>41814</v>
      </c>
      <c r="X547" s="1">
        <v>4545000</v>
      </c>
      <c r="Y547" s="1">
        <v>4370000</v>
      </c>
      <c r="Z547" s="5">
        <v>41831</v>
      </c>
      <c r="AA547" s="1">
        <v>4449753</v>
      </c>
      <c r="AB547" s="1" t="s">
        <v>387</v>
      </c>
      <c r="AC547" s="5">
        <v>42721</v>
      </c>
      <c r="AF547" s="1">
        <v>10007</v>
      </c>
      <c r="AJ547" s="1">
        <v>2016</v>
      </c>
      <c r="AK547" s="1" t="s">
        <v>81</v>
      </c>
      <c r="AL547" s="1">
        <v>157</v>
      </c>
    </row>
    <row r="548" spans="1:38" x14ac:dyDescent="0.2">
      <c r="A548" s="2" t="str">
        <f>HYPERLINK("https://www.compass.com/listing/30-park-place-unit-58c-manhattan-ny-10007/29357578567912673/","30 Park Pl, Unit 58C")</f>
        <v>30 Park Pl, Unit 58C</v>
      </c>
      <c r="B548" s="2" t="str">
        <f t="shared" si="91"/>
        <v>30 Park Pl</v>
      </c>
      <c r="C548" s="1" t="s">
        <v>40</v>
      </c>
      <c r="D548" s="1" t="s">
        <v>41</v>
      </c>
      <c r="E548" s="3">
        <v>4444661</v>
      </c>
      <c r="F548" s="1">
        <v>2880.5320803629202</v>
      </c>
      <c r="G548" s="1">
        <v>4</v>
      </c>
      <c r="H548" s="1">
        <v>2</v>
      </c>
      <c r="I548" s="1">
        <v>2</v>
      </c>
      <c r="J548" s="1">
        <v>2</v>
      </c>
      <c r="K548" s="1">
        <v>2</v>
      </c>
      <c r="M548" s="4">
        <v>1543</v>
      </c>
      <c r="N548" s="1">
        <v>1239</v>
      </c>
      <c r="O548" s="1">
        <v>4397</v>
      </c>
      <c r="P548" s="1">
        <v>3158</v>
      </c>
      <c r="Q548" s="1" t="s">
        <v>42</v>
      </c>
      <c r="S548" s="1" t="s">
        <v>42</v>
      </c>
      <c r="T548" s="1" t="s">
        <v>203</v>
      </c>
      <c r="U548" s="1">
        <v>26</v>
      </c>
      <c r="V548" s="5">
        <v>43666</v>
      </c>
      <c r="W548" s="5">
        <v>41874</v>
      </c>
      <c r="X548" s="1">
        <v>4515000</v>
      </c>
      <c r="Y548" s="1">
        <v>4365000</v>
      </c>
      <c r="Z548" s="5">
        <v>41900</v>
      </c>
      <c r="AA548" s="1">
        <v>4444661</v>
      </c>
      <c r="AB548" s="1" t="s">
        <v>388</v>
      </c>
      <c r="AC548" s="5">
        <v>42759</v>
      </c>
      <c r="AF548" s="1">
        <v>10007</v>
      </c>
      <c r="AJ548" s="1">
        <v>2016</v>
      </c>
      <c r="AK548" s="1" t="s">
        <v>81</v>
      </c>
      <c r="AL548" s="1">
        <v>157</v>
      </c>
    </row>
    <row r="549" spans="1:38" x14ac:dyDescent="0.2">
      <c r="A549" s="2" t="str">
        <f>HYPERLINK("https://www.compass.com/listing/30-park-place-unit-42c-manhattan-ny-10007/29357557462174609/","30 Park Pl, Unit 42C")</f>
        <v>30 Park Pl, Unit 42C</v>
      </c>
      <c r="B549" s="2" t="str">
        <f t="shared" si="91"/>
        <v>30 Park Pl</v>
      </c>
      <c r="C549" s="1" t="s">
        <v>40</v>
      </c>
      <c r="D549" s="1" t="s">
        <v>41</v>
      </c>
      <c r="E549" s="3">
        <v>2891830</v>
      </c>
      <c r="F549" s="1">
        <v>2609.9548736462002</v>
      </c>
      <c r="G549" s="1">
        <v>3</v>
      </c>
      <c r="H549" s="1">
        <v>1</v>
      </c>
      <c r="I549" s="1">
        <v>1</v>
      </c>
      <c r="J549" s="1">
        <v>1</v>
      </c>
      <c r="K549" s="1">
        <v>1</v>
      </c>
      <c r="M549" s="4">
        <v>1108</v>
      </c>
      <c r="N549" s="1">
        <v>879</v>
      </c>
      <c r="O549" s="1">
        <v>3119</v>
      </c>
      <c r="P549" s="1">
        <v>2240</v>
      </c>
      <c r="Q549" s="1" t="s">
        <v>42</v>
      </c>
      <c r="S549" s="1" t="s">
        <v>42</v>
      </c>
      <c r="T549" s="1" t="s">
        <v>203</v>
      </c>
      <c r="U549" s="1">
        <v>2</v>
      </c>
      <c r="V549" s="5">
        <v>43673</v>
      </c>
      <c r="W549" s="5">
        <v>41835</v>
      </c>
      <c r="X549" s="1">
        <v>2945000</v>
      </c>
      <c r="Y549" s="1">
        <v>2840000</v>
      </c>
      <c r="Z549" s="5">
        <v>41837</v>
      </c>
      <c r="AA549" s="1">
        <v>2891830</v>
      </c>
      <c r="AB549" s="1" t="s">
        <v>389</v>
      </c>
      <c r="AC549" s="5">
        <v>42627</v>
      </c>
      <c r="AF549" s="1">
        <v>10007</v>
      </c>
      <c r="AJ549" s="1">
        <v>2016</v>
      </c>
      <c r="AK549" s="1" t="s">
        <v>81</v>
      </c>
      <c r="AL549" s="1">
        <v>157</v>
      </c>
    </row>
    <row r="550" spans="1:38" x14ac:dyDescent="0.2">
      <c r="A550" s="2" t="str">
        <f>HYPERLINK("https://www.compass.com/listing/30-park-place-unit-40b-manhattan-ny-10007/29357554207296465/","30 Park Pl, Unit 40B")</f>
        <v>30 Park Pl, Unit 40B</v>
      </c>
      <c r="B550" s="2" t="str">
        <f t="shared" si="91"/>
        <v>30 Park Pl</v>
      </c>
      <c r="C550" s="1" t="s">
        <v>40</v>
      </c>
      <c r="D550" s="1" t="s">
        <v>41</v>
      </c>
      <c r="E550" s="3">
        <v>4531213</v>
      </c>
      <c r="F550" s="1">
        <v>2723.0847355769201</v>
      </c>
      <c r="G550" s="1">
        <v>4</v>
      </c>
      <c r="H550" s="1">
        <v>2</v>
      </c>
      <c r="I550" s="1">
        <v>2</v>
      </c>
      <c r="J550" s="1">
        <v>2.5</v>
      </c>
      <c r="K550" s="1">
        <v>2</v>
      </c>
      <c r="L550" s="1">
        <v>1</v>
      </c>
      <c r="M550" s="4">
        <v>1664</v>
      </c>
      <c r="N550" s="1">
        <v>1323</v>
      </c>
      <c r="O550" s="1">
        <v>4696</v>
      </c>
      <c r="P550" s="1">
        <v>3373</v>
      </c>
      <c r="Q550" s="1" t="s">
        <v>42</v>
      </c>
      <c r="S550" s="1" t="s">
        <v>42</v>
      </c>
      <c r="T550" s="1" t="s">
        <v>203</v>
      </c>
      <c r="U550" s="1">
        <v>4</v>
      </c>
      <c r="V550" s="5">
        <v>43677</v>
      </c>
      <c r="W550" s="5">
        <v>41796</v>
      </c>
      <c r="X550" s="1">
        <v>4650000</v>
      </c>
      <c r="Y550" s="1">
        <v>4450000</v>
      </c>
      <c r="Z550" s="5">
        <v>41800</v>
      </c>
      <c r="AA550" s="1">
        <v>4531213</v>
      </c>
      <c r="AB550" s="1" t="s">
        <v>390</v>
      </c>
      <c r="AC550" s="5">
        <v>42662</v>
      </c>
      <c r="AF550" s="1">
        <v>10007</v>
      </c>
      <c r="AJ550" s="1">
        <v>2016</v>
      </c>
      <c r="AK550" s="1" t="s">
        <v>81</v>
      </c>
      <c r="AL550" s="1">
        <v>157</v>
      </c>
    </row>
    <row r="551" spans="1:38" x14ac:dyDescent="0.2">
      <c r="A551" s="2" t="str">
        <f>HYPERLINK("https://www.compass.com/listing/30-park-place-unit-41b-manhattan-ny-10007/29357555775969377/","30 Park Pl, Unit 41B")</f>
        <v>30 Park Pl, Unit 41B</v>
      </c>
      <c r="B551" s="2" t="str">
        <f t="shared" si="91"/>
        <v>30 Park Pl</v>
      </c>
      <c r="C551" s="1" t="s">
        <v>40</v>
      </c>
      <c r="D551" s="1" t="s">
        <v>41</v>
      </c>
      <c r="E551" s="3">
        <v>4571943</v>
      </c>
      <c r="F551" s="1">
        <v>2747.5618990384601</v>
      </c>
      <c r="G551" s="1">
        <v>4</v>
      </c>
      <c r="H551" s="1">
        <v>2</v>
      </c>
      <c r="I551" s="1">
        <v>2</v>
      </c>
      <c r="J551" s="1">
        <v>2</v>
      </c>
      <c r="K551" s="1">
        <v>2</v>
      </c>
      <c r="M551" s="4">
        <v>1664</v>
      </c>
      <c r="N551" s="1">
        <v>1325</v>
      </c>
      <c r="O551" s="1">
        <v>4703</v>
      </c>
      <c r="P551" s="1">
        <v>3378</v>
      </c>
      <c r="Q551" s="1" t="s">
        <v>42</v>
      </c>
      <c r="S551" s="1" t="s">
        <v>42</v>
      </c>
      <c r="T551" s="1" t="s">
        <v>203</v>
      </c>
      <c r="U551" s="1">
        <v>10</v>
      </c>
      <c r="V551" s="5">
        <v>43665</v>
      </c>
      <c r="W551" s="5">
        <v>41914</v>
      </c>
      <c r="X551" s="1">
        <v>5065000</v>
      </c>
      <c r="Y551" s="1">
        <v>4490000</v>
      </c>
      <c r="Z551" s="5">
        <v>41924</v>
      </c>
      <c r="AA551" s="1">
        <v>4571943</v>
      </c>
      <c r="AB551" s="1" t="s">
        <v>391</v>
      </c>
      <c r="AC551" s="5">
        <v>42627</v>
      </c>
      <c r="AF551" s="1">
        <v>10007</v>
      </c>
      <c r="AJ551" s="1">
        <v>2016</v>
      </c>
      <c r="AK551" s="1" t="s">
        <v>81</v>
      </c>
      <c r="AL551" s="1">
        <v>157</v>
      </c>
    </row>
    <row r="552" spans="1:38" x14ac:dyDescent="0.2">
      <c r="A552" s="2" t="str">
        <f>HYPERLINK("https://www.compass.com/listing/30-park-place-unit-43b-manhattan-ny-10007/29357558888142993/","30 Park Pl, Unit 43B")</f>
        <v>30 Park Pl, Unit 43B</v>
      </c>
      <c r="B552" s="2" t="str">
        <f t="shared" si="91"/>
        <v>30 Park Pl</v>
      </c>
      <c r="C552" s="1" t="s">
        <v>40</v>
      </c>
      <c r="D552" s="1" t="s">
        <v>41</v>
      </c>
      <c r="E552" s="3">
        <v>4398840</v>
      </c>
      <c r="F552" s="1">
        <v>2643.5336538461502</v>
      </c>
      <c r="G552" s="1">
        <v>4</v>
      </c>
      <c r="H552" s="1">
        <v>2</v>
      </c>
      <c r="I552" s="1">
        <v>2</v>
      </c>
      <c r="J552" s="1">
        <v>2</v>
      </c>
      <c r="K552" s="1">
        <v>2</v>
      </c>
      <c r="M552" s="4">
        <v>1664</v>
      </c>
      <c r="N552" s="1">
        <v>1329</v>
      </c>
      <c r="O552" s="1">
        <v>4717</v>
      </c>
      <c r="P552" s="1">
        <v>3388</v>
      </c>
      <c r="Q552" s="1" t="s">
        <v>42</v>
      </c>
      <c r="S552" s="1" t="s">
        <v>42</v>
      </c>
      <c r="T552" s="1" t="s">
        <v>203</v>
      </c>
      <c r="U552" s="1">
        <v>48</v>
      </c>
      <c r="V552" s="5">
        <v>43673</v>
      </c>
      <c r="W552" s="5">
        <v>42557</v>
      </c>
      <c r="X552" s="1">
        <v>5445000</v>
      </c>
      <c r="Y552" s="1">
        <v>5445000</v>
      </c>
      <c r="Z552" s="5">
        <v>42605</v>
      </c>
      <c r="AA552" s="1">
        <v>4398840</v>
      </c>
      <c r="AB552" s="1" t="s">
        <v>392</v>
      </c>
      <c r="AC552" s="5">
        <v>42636</v>
      </c>
      <c r="AF552" s="1">
        <v>10007</v>
      </c>
      <c r="AJ552" s="1">
        <v>2016</v>
      </c>
      <c r="AK552" s="1" t="s">
        <v>81</v>
      </c>
      <c r="AL552" s="1">
        <v>157</v>
      </c>
    </row>
    <row r="553" spans="1:38" x14ac:dyDescent="0.2">
      <c r="A553" s="2" t="str">
        <f>HYPERLINK("https://www.compass.com/listing/30-park-place-unit-48b-manhattan-ny-10007/29357565045378209/","30 Park Pl, Unit 48B")</f>
        <v>30 Park Pl, Unit 48B</v>
      </c>
      <c r="B553" s="2" t="str">
        <f t="shared" si="91"/>
        <v>30 Park Pl</v>
      </c>
      <c r="C553" s="1" t="s">
        <v>40</v>
      </c>
      <c r="D553" s="1" t="s">
        <v>41</v>
      </c>
      <c r="E553" s="3">
        <v>4582125</v>
      </c>
      <c r="F553" s="1">
        <v>2753.6808894230699</v>
      </c>
      <c r="G553" s="1">
        <v>4</v>
      </c>
      <c r="H553" s="1">
        <v>2</v>
      </c>
      <c r="I553" s="1">
        <v>2</v>
      </c>
      <c r="J553" s="1">
        <v>2.5</v>
      </c>
      <c r="K553" s="1">
        <v>2</v>
      </c>
      <c r="L553" s="1">
        <v>1</v>
      </c>
      <c r="M553" s="4">
        <v>1664</v>
      </c>
      <c r="N553" s="1">
        <v>1340</v>
      </c>
      <c r="O553" s="1">
        <v>4755</v>
      </c>
      <c r="P553" s="1">
        <v>3415</v>
      </c>
      <c r="Q553" s="1" t="s">
        <v>42</v>
      </c>
      <c r="S553" s="1" t="s">
        <v>42</v>
      </c>
      <c r="T553" s="1" t="s">
        <v>203</v>
      </c>
      <c r="U553" s="1">
        <v>125</v>
      </c>
      <c r="V553" s="5">
        <v>43019</v>
      </c>
      <c r="W553" s="5">
        <v>42893</v>
      </c>
      <c r="X553" s="1">
        <v>4950000</v>
      </c>
      <c r="Y553" s="1">
        <v>4520000</v>
      </c>
      <c r="AA553" s="1">
        <v>4582125</v>
      </c>
      <c r="AB553" s="1" t="s">
        <v>393</v>
      </c>
      <c r="AC553" s="5">
        <v>43040</v>
      </c>
      <c r="AF553" s="1">
        <v>10007</v>
      </c>
      <c r="AJ553" s="1">
        <v>2016</v>
      </c>
      <c r="AK553" s="1" t="s">
        <v>81</v>
      </c>
      <c r="AL553" s="1">
        <v>157</v>
      </c>
    </row>
    <row r="554" spans="1:38" x14ac:dyDescent="0.2">
      <c r="A554" s="2" t="str">
        <f>HYPERLINK("https://www.compass.com/listing/30-park-place-unit-54d-manhattan-ny-10007/29357573845028145/","30 Park Pl, Unit 54D")</f>
        <v>30 Park Pl, Unit 54D</v>
      </c>
      <c r="B554" s="2" t="str">
        <f t="shared" si="91"/>
        <v>30 Park Pl</v>
      </c>
      <c r="C554" s="1" t="s">
        <v>40</v>
      </c>
      <c r="D554" s="1" t="s">
        <v>41</v>
      </c>
      <c r="E554" s="3">
        <v>4358110</v>
      </c>
      <c r="F554" s="1">
        <v>2833.6215864759401</v>
      </c>
      <c r="G554" s="1">
        <v>4</v>
      </c>
      <c r="H554" s="1">
        <v>2</v>
      </c>
      <c r="I554" s="1">
        <v>2</v>
      </c>
      <c r="J554" s="1">
        <v>2</v>
      </c>
      <c r="K554" s="1">
        <v>2</v>
      </c>
      <c r="M554" s="4">
        <v>1538</v>
      </c>
      <c r="N554" s="1">
        <v>1253</v>
      </c>
      <c r="O554" s="1">
        <v>4448</v>
      </c>
      <c r="P554" s="1">
        <v>3195</v>
      </c>
      <c r="Q554" s="1" t="s">
        <v>42</v>
      </c>
      <c r="S554" s="1" t="s">
        <v>42</v>
      </c>
      <c r="T554" s="1" t="s">
        <v>203</v>
      </c>
      <c r="U554" s="1">
        <v>3</v>
      </c>
      <c r="V554" s="5">
        <v>43673</v>
      </c>
      <c r="W554" s="5">
        <v>41815</v>
      </c>
      <c r="X554" s="1">
        <v>4505000</v>
      </c>
      <c r="Y554" s="1">
        <v>4280000</v>
      </c>
      <c r="Z554" s="5">
        <v>41818</v>
      </c>
      <c r="AA554" s="1">
        <v>4358110</v>
      </c>
      <c r="AB554" s="1" t="s">
        <v>394</v>
      </c>
      <c r="AC554" s="5">
        <v>42726</v>
      </c>
      <c r="AF554" s="1">
        <v>10007</v>
      </c>
      <c r="AJ554" s="1">
        <v>2016</v>
      </c>
      <c r="AK554" s="1" t="s">
        <v>81</v>
      </c>
      <c r="AL554" s="1">
        <v>157</v>
      </c>
    </row>
    <row r="555" spans="1:38" x14ac:dyDescent="0.2">
      <c r="A555" s="2" t="str">
        <f>HYPERLINK("https://www.compass.com/listing/30-park-place-unit-57d-manhattan-ny-10007/29357577586445521/","30 Park Pl, Unit 57D")</f>
        <v>30 Park Pl, Unit 57D</v>
      </c>
      <c r="B555" s="2" t="str">
        <f t="shared" si="91"/>
        <v>30 Park Pl</v>
      </c>
      <c r="C555" s="1" t="s">
        <v>40</v>
      </c>
      <c r="D555" s="1" t="s">
        <v>41</v>
      </c>
      <c r="E555" s="3">
        <v>4607581</v>
      </c>
      <c r="F555" s="1">
        <v>2995.8263979193698</v>
      </c>
      <c r="G555" s="1">
        <v>4</v>
      </c>
      <c r="H555" s="1">
        <v>2</v>
      </c>
      <c r="I555" s="1">
        <v>2</v>
      </c>
      <c r="J555" s="1">
        <v>2</v>
      </c>
      <c r="K555" s="1">
        <v>2</v>
      </c>
      <c r="M555" s="4">
        <v>1538</v>
      </c>
      <c r="N555" s="1">
        <v>1260</v>
      </c>
      <c r="O555" s="1">
        <v>4471</v>
      </c>
      <c r="P555" s="1">
        <v>3211</v>
      </c>
      <c r="Q555" s="1" t="s">
        <v>42</v>
      </c>
      <c r="S555" s="1" t="s">
        <v>42</v>
      </c>
      <c r="T555" s="1" t="s">
        <v>203</v>
      </c>
      <c r="U555" s="1">
        <v>14</v>
      </c>
      <c r="V555" s="5">
        <v>43673</v>
      </c>
      <c r="W555" s="5">
        <v>41821</v>
      </c>
      <c r="X555" s="1">
        <v>4625000</v>
      </c>
      <c r="Y555" s="1">
        <v>4525000</v>
      </c>
      <c r="Z555" s="5">
        <v>41835</v>
      </c>
      <c r="AA555" s="1">
        <v>4607581</v>
      </c>
      <c r="AB555" s="1" t="s">
        <v>395</v>
      </c>
      <c r="AC555" s="5">
        <v>42726</v>
      </c>
      <c r="AF555" s="1">
        <v>10007</v>
      </c>
      <c r="AJ555" s="1">
        <v>2016</v>
      </c>
      <c r="AK555" s="1" t="s">
        <v>81</v>
      </c>
      <c r="AL555" s="1">
        <v>157</v>
      </c>
    </row>
    <row r="556" spans="1:38" x14ac:dyDescent="0.2">
      <c r="A556" s="2" t="str">
        <f>HYPERLINK("https://www.compass.com/listing/30-park-place-unit-59c-manhattan-ny-10007/29357580606249489/","30 Park Pl, Unit 59C")</f>
        <v>30 Park Pl, Unit 59C</v>
      </c>
      <c r="B556" s="2" t="str">
        <f t="shared" si="91"/>
        <v>30 Park Pl</v>
      </c>
      <c r="C556" s="1" t="s">
        <v>40</v>
      </c>
      <c r="D556" s="1" t="s">
        <v>41</v>
      </c>
      <c r="E556" s="3">
        <v>4638129</v>
      </c>
      <c r="F556" s="1">
        <v>3005.9163966299402</v>
      </c>
      <c r="G556" s="1">
        <v>4</v>
      </c>
      <c r="H556" s="1">
        <v>2</v>
      </c>
      <c r="I556" s="1">
        <v>2</v>
      </c>
      <c r="J556" s="1">
        <v>2</v>
      </c>
      <c r="K556" s="1">
        <v>2</v>
      </c>
      <c r="M556" s="4">
        <v>1543</v>
      </c>
      <c r="N556" s="1">
        <v>1241</v>
      </c>
      <c r="O556" s="1">
        <v>4404</v>
      </c>
      <c r="P556" s="1">
        <v>3163</v>
      </c>
      <c r="Q556" s="1" t="s">
        <v>42</v>
      </c>
      <c r="S556" s="1" t="s">
        <v>42</v>
      </c>
      <c r="T556" s="1" t="s">
        <v>203</v>
      </c>
      <c r="U556" s="1">
        <v>30</v>
      </c>
      <c r="V556" s="5">
        <v>43663</v>
      </c>
      <c r="W556" s="5">
        <v>41837</v>
      </c>
      <c r="X556" s="1">
        <v>4555000</v>
      </c>
      <c r="Y556" s="1">
        <v>4555000</v>
      </c>
      <c r="Z556" s="5">
        <v>41867</v>
      </c>
      <c r="AA556" s="1">
        <v>4638129</v>
      </c>
      <c r="AB556" s="1" t="s">
        <v>396</v>
      </c>
      <c r="AC556" s="5">
        <v>42767</v>
      </c>
      <c r="AF556" s="1">
        <v>10007</v>
      </c>
      <c r="AJ556" s="1">
        <v>2016</v>
      </c>
      <c r="AK556" s="1" t="s">
        <v>81</v>
      </c>
      <c r="AL556" s="1">
        <v>157</v>
      </c>
    </row>
    <row r="557" spans="1:38" x14ac:dyDescent="0.2">
      <c r="A557" s="2" t="str">
        <f>HYPERLINK("https://www.compass.com/listing/30-park-place-unit-48b-manhattan-ny-10007/803366699436869441/","30 Park Pl, Unit 48B")</f>
        <v>30 Park Pl, Unit 48B</v>
      </c>
      <c r="B557" s="2" t="str">
        <f t="shared" si="91"/>
        <v>30 Park Pl</v>
      </c>
      <c r="C557" s="1" t="s">
        <v>40</v>
      </c>
      <c r="D557" s="1" t="s">
        <v>41</v>
      </c>
      <c r="E557" s="3">
        <v>4582125</v>
      </c>
      <c r="F557" s="1">
        <v>2753.6808894230699</v>
      </c>
      <c r="G557" s="1">
        <v>4</v>
      </c>
      <c r="H557" s="1">
        <v>2</v>
      </c>
      <c r="I557" s="1">
        <v>2</v>
      </c>
      <c r="J557" s="1">
        <v>2.5</v>
      </c>
      <c r="K557" s="1">
        <v>2</v>
      </c>
      <c r="L557" s="1">
        <v>1</v>
      </c>
      <c r="M557" s="4">
        <v>1664</v>
      </c>
      <c r="N557" s="1">
        <v>1340</v>
      </c>
      <c r="O557" s="1">
        <v>4755</v>
      </c>
      <c r="P557" s="1">
        <v>3415</v>
      </c>
      <c r="Q557" s="1" t="s">
        <v>42</v>
      </c>
      <c r="S557" s="1" t="s">
        <v>42</v>
      </c>
      <c r="T557" s="1" t="s">
        <v>203</v>
      </c>
      <c r="U557" s="1">
        <v>215</v>
      </c>
      <c r="V557" s="5">
        <v>43019</v>
      </c>
      <c r="W557" s="5">
        <v>42803</v>
      </c>
      <c r="X557" s="1">
        <v>5645000</v>
      </c>
      <c r="Y557" s="1">
        <v>4520000</v>
      </c>
      <c r="AA557" s="1">
        <v>4582125</v>
      </c>
      <c r="AB557" s="1" t="s">
        <v>393</v>
      </c>
      <c r="AC557" s="5">
        <v>43040</v>
      </c>
      <c r="AF557" s="1">
        <v>10007</v>
      </c>
      <c r="AJ557" s="1">
        <v>2016</v>
      </c>
      <c r="AK557" s="1" t="s">
        <v>81</v>
      </c>
      <c r="AL557" s="1">
        <v>157</v>
      </c>
    </row>
    <row r="558" spans="1:38" x14ac:dyDescent="0.2">
      <c r="A558" s="2" t="str">
        <f>HYPERLINK("https://www.compass.com/listing/30-park-place-unit-ph78b-manhattan-ny-10007/29512134635359489/","30 Park Pl, Unit PH78B")</f>
        <v>30 Park Pl, Unit PH78B</v>
      </c>
      <c r="B558" s="2" t="str">
        <f t="shared" si="91"/>
        <v>30 Park Pl</v>
      </c>
      <c r="C558" s="1" t="s">
        <v>40</v>
      </c>
      <c r="D558" s="1" t="s">
        <v>41</v>
      </c>
      <c r="E558" s="3">
        <v>25000000</v>
      </c>
      <c r="F558" s="1">
        <v>4210.8809162876796</v>
      </c>
      <c r="G558" s="1">
        <v>10.5</v>
      </c>
      <c r="H558" s="1">
        <v>5</v>
      </c>
      <c r="I558" s="1">
        <v>7</v>
      </c>
      <c r="J558" s="1">
        <v>6.5</v>
      </c>
      <c r="K558" s="1">
        <v>6</v>
      </c>
      <c r="L558" s="1">
        <v>1</v>
      </c>
      <c r="M558" s="4">
        <v>5937</v>
      </c>
      <c r="N558" s="1">
        <v>5923</v>
      </c>
      <c r="O558" s="1">
        <v>20630</v>
      </c>
      <c r="P558" s="1">
        <v>14707</v>
      </c>
      <c r="Q558" s="1" t="s">
        <v>42</v>
      </c>
      <c r="S558" s="1" t="s">
        <v>42</v>
      </c>
      <c r="T558" s="1" t="s">
        <v>203</v>
      </c>
      <c r="U558" s="1">
        <v>1386</v>
      </c>
      <c r="V558" s="5">
        <v>44411</v>
      </c>
      <c r="W558" s="5">
        <v>42836</v>
      </c>
      <c r="X558" s="1">
        <v>29500000</v>
      </c>
      <c r="Y558" s="1">
        <v>29500000</v>
      </c>
      <c r="Z558" s="5">
        <v>44317</v>
      </c>
      <c r="AA558" s="1">
        <v>25000000</v>
      </c>
      <c r="AB558" s="1" t="s">
        <v>204</v>
      </c>
      <c r="AC558" s="5">
        <v>44389</v>
      </c>
      <c r="AF558" s="1">
        <v>10007</v>
      </c>
      <c r="AI558" s="1" t="s">
        <v>93</v>
      </c>
      <c r="AJ558" s="1">
        <v>2016</v>
      </c>
      <c r="AK558" s="1" t="s">
        <v>81</v>
      </c>
      <c r="AL558" s="1">
        <v>157</v>
      </c>
    </row>
    <row r="559" spans="1:38" x14ac:dyDescent="0.2">
      <c r="A559" s="2" t="str">
        <f>HYPERLINK("https://www.compass.com/listing/30-park-place-unit-65a-manhattan-ny-10007/803339170726417865/","30 Park Pl, Unit 65A")</f>
        <v>30 Park Pl, Unit 65A</v>
      </c>
      <c r="B559" s="2" t="str">
        <f t="shared" si="91"/>
        <v>30 Park Pl</v>
      </c>
      <c r="C559" s="1" t="s">
        <v>40</v>
      </c>
      <c r="D559" s="1" t="s">
        <v>41</v>
      </c>
      <c r="E559" s="3">
        <v>9300000</v>
      </c>
      <c r="F559" s="1">
        <v>2513.5135135135101</v>
      </c>
      <c r="G559" s="1">
        <v>8</v>
      </c>
      <c r="H559" s="1">
        <v>4</v>
      </c>
      <c r="I559" s="1">
        <v>5</v>
      </c>
      <c r="J559" s="1">
        <v>5</v>
      </c>
      <c r="K559" s="1">
        <v>5</v>
      </c>
      <c r="M559" s="4">
        <v>3700</v>
      </c>
      <c r="N559" s="1">
        <v>3293</v>
      </c>
      <c r="O559" s="1">
        <v>11826</v>
      </c>
      <c r="P559" s="1">
        <v>8533</v>
      </c>
      <c r="Q559" s="1" t="s">
        <v>42</v>
      </c>
      <c r="S559" s="1" t="s">
        <v>42</v>
      </c>
      <c r="T559" s="1" t="s">
        <v>203</v>
      </c>
      <c r="U559" s="1">
        <v>212</v>
      </c>
      <c r="V559" s="5">
        <v>44068</v>
      </c>
      <c r="W559" s="5">
        <v>43661</v>
      </c>
      <c r="X559" s="1">
        <v>11100000</v>
      </c>
      <c r="Y559" s="1">
        <v>10500000</v>
      </c>
      <c r="Z559" s="5">
        <v>44022</v>
      </c>
      <c r="AA559" s="1">
        <v>9300000</v>
      </c>
      <c r="AB559" s="1" t="s">
        <v>397</v>
      </c>
      <c r="AC559" s="5">
        <v>44055</v>
      </c>
      <c r="AF559" s="1">
        <v>10007</v>
      </c>
      <c r="AJ559" s="1">
        <v>2016</v>
      </c>
      <c r="AK559" s="1" t="s">
        <v>50</v>
      </c>
      <c r="AL559" s="1">
        <v>157</v>
      </c>
    </row>
    <row r="560" spans="1:38" x14ac:dyDescent="0.2">
      <c r="A560" s="2" t="str">
        <f>HYPERLINK("https://www.compass.com/listing/146-church-street-unit-4-manhattan-ny-10007/424680602635806737/","146 Church St, Unit 4")</f>
        <v>146 Church St, Unit 4</v>
      </c>
      <c r="B560" s="2" t="str">
        <f t="shared" ref="B560:B561" si="92">HYPERLINK("https://www.compass.com/building/rogue-manhattan-ny/282060065869954789/","Rogue")</f>
        <v>Rogue</v>
      </c>
      <c r="C560" s="1" t="s">
        <v>40</v>
      </c>
      <c r="D560" s="1" t="s">
        <v>41</v>
      </c>
      <c r="E560" s="3">
        <v>2750000</v>
      </c>
      <c r="F560" s="1">
        <v>1492.9424538544999</v>
      </c>
      <c r="G560" s="1">
        <v>5</v>
      </c>
      <c r="H560" s="1">
        <v>3</v>
      </c>
      <c r="I560" s="1">
        <v>2</v>
      </c>
      <c r="J560" s="1">
        <v>2</v>
      </c>
      <c r="K560" s="1">
        <v>2</v>
      </c>
      <c r="M560" s="4">
        <v>1842</v>
      </c>
      <c r="N560" s="1">
        <v>2194</v>
      </c>
      <c r="O560" s="1">
        <v>3449</v>
      </c>
      <c r="P560" s="1">
        <v>1255</v>
      </c>
      <c r="Q560" s="1" t="s">
        <v>42</v>
      </c>
      <c r="S560" s="1" t="s">
        <v>42</v>
      </c>
      <c r="T560" s="1" t="s">
        <v>203</v>
      </c>
      <c r="V560" s="5">
        <v>44184</v>
      </c>
      <c r="W560" s="5">
        <v>44120</v>
      </c>
      <c r="Y560" s="1">
        <v>3325000</v>
      </c>
      <c r="Z560" s="5">
        <v>44121</v>
      </c>
      <c r="AA560" s="1">
        <v>2750000</v>
      </c>
      <c r="AB560" s="1" t="s">
        <v>398</v>
      </c>
      <c r="AC560" s="5">
        <v>44174</v>
      </c>
      <c r="AF560" s="1">
        <v>10007</v>
      </c>
      <c r="AI560" s="1" t="s">
        <v>399</v>
      </c>
      <c r="AJ560" s="1">
        <v>2019</v>
      </c>
      <c r="AK560" s="1" t="s">
        <v>50</v>
      </c>
      <c r="AL560" s="1">
        <v>8</v>
      </c>
    </row>
    <row r="561" spans="1:38" x14ac:dyDescent="0.2">
      <c r="A561" s="2" t="str">
        <f>HYPERLINK("https://www.compass.com/listing/146-church-street-unit-5-manhattan-ny-10007/441995510539512785/","146 Church St, Unit 5")</f>
        <v>146 Church St, Unit 5</v>
      </c>
      <c r="B561" s="2" t="str">
        <f t="shared" si="92"/>
        <v>Rogue</v>
      </c>
      <c r="C561" s="1" t="s">
        <v>40</v>
      </c>
      <c r="D561" s="1" t="s">
        <v>41</v>
      </c>
      <c r="E561" s="3">
        <v>2675000</v>
      </c>
      <c r="F561" s="1">
        <v>1452.22584147665</v>
      </c>
      <c r="G561" s="1">
        <v>5</v>
      </c>
      <c r="H561" s="1">
        <v>3</v>
      </c>
      <c r="I561" s="1">
        <v>2</v>
      </c>
      <c r="J561" s="1">
        <v>2</v>
      </c>
      <c r="K561" s="1">
        <v>2</v>
      </c>
      <c r="M561" s="4">
        <v>1842</v>
      </c>
      <c r="N561" s="1">
        <v>2195</v>
      </c>
      <c r="O561" s="1">
        <v>3450</v>
      </c>
      <c r="P561" s="1">
        <v>1255</v>
      </c>
      <c r="Q561" s="1" t="s">
        <v>42</v>
      </c>
      <c r="S561" s="1" t="s">
        <v>42</v>
      </c>
      <c r="T561" s="1" t="s">
        <v>203</v>
      </c>
      <c r="U561" s="1">
        <v>135</v>
      </c>
      <c r="V561" s="5">
        <v>44235</v>
      </c>
      <c r="W561" s="5">
        <v>43861</v>
      </c>
      <c r="X561" s="1">
        <v>3250000</v>
      </c>
      <c r="Y561" s="1">
        <v>3250000</v>
      </c>
      <c r="Z561" s="5">
        <v>44091</v>
      </c>
      <c r="AA561" s="1">
        <v>2675000</v>
      </c>
      <c r="AB561" s="1" t="s">
        <v>400</v>
      </c>
      <c r="AC561" s="5">
        <v>44204</v>
      </c>
      <c r="AF561" s="1">
        <v>10007</v>
      </c>
      <c r="AI561" s="1" t="s">
        <v>399</v>
      </c>
      <c r="AJ561" s="1">
        <v>2019</v>
      </c>
      <c r="AK561" s="1" t="s">
        <v>50</v>
      </c>
      <c r="AL561" s="1">
        <v>8</v>
      </c>
    </row>
    <row r="562" spans="1:38" x14ac:dyDescent="0.2">
      <c r="A562" s="2" t="str">
        <f>HYPERLINK("https://www.compass.com/listing/30-park-place-unit-39c-manhattan-ny-10007/29357552361900849/","30 Park Pl, Unit 39C")</f>
        <v>30 Park Pl, Unit 39C</v>
      </c>
      <c r="B562" s="2" t="str">
        <f t="shared" ref="B562:B572" si="93">HYPERLINK("https://www.compass.com/building/30-park-pl-manhattan-ny-10007/281896912905317605/","30 Park Pl")</f>
        <v>30 Park Pl</v>
      </c>
      <c r="C562" s="1" t="s">
        <v>40</v>
      </c>
      <c r="D562" s="1" t="s">
        <v>41</v>
      </c>
      <c r="E562" s="3">
        <v>1781938</v>
      </c>
      <c r="F562" s="1">
        <v>2194.50492610837</v>
      </c>
      <c r="G562" s="1">
        <v>3</v>
      </c>
      <c r="H562" s="1">
        <v>1</v>
      </c>
      <c r="I562" s="1">
        <v>1</v>
      </c>
      <c r="J562" s="1">
        <v>1</v>
      </c>
      <c r="K562" s="1">
        <v>1</v>
      </c>
      <c r="M562" s="1">
        <v>812</v>
      </c>
      <c r="N562" s="1">
        <v>635</v>
      </c>
      <c r="O562" s="1">
        <v>2253</v>
      </c>
      <c r="P562" s="1">
        <v>1618</v>
      </c>
      <c r="Q562" s="1" t="s">
        <v>42</v>
      </c>
      <c r="S562" s="1" t="s">
        <v>42</v>
      </c>
      <c r="T562" s="1" t="s">
        <v>203</v>
      </c>
      <c r="V562" s="5">
        <v>43662</v>
      </c>
      <c r="W562" s="5">
        <v>42705</v>
      </c>
      <c r="X562" s="1">
        <v>1750000</v>
      </c>
      <c r="Y562" s="1">
        <v>1750000</v>
      </c>
      <c r="Z562" s="5">
        <v>42705</v>
      </c>
      <c r="AA562" s="1">
        <v>1781938</v>
      </c>
      <c r="AB562" s="1" t="s">
        <v>401</v>
      </c>
      <c r="AC562" s="5">
        <v>42850</v>
      </c>
      <c r="AF562" s="1">
        <v>10007</v>
      </c>
      <c r="AJ562" s="1">
        <v>2016</v>
      </c>
      <c r="AK562" s="1" t="s">
        <v>81</v>
      </c>
      <c r="AL562" s="1">
        <v>157</v>
      </c>
    </row>
    <row r="563" spans="1:38" x14ac:dyDescent="0.2">
      <c r="A563" s="2" t="str">
        <f>HYPERLINK("https://www.compass.com/listing/30-park-place-unit-51a-manhattan-ny-10007/18882273835278289/","30 Park Pl, Unit 51A")</f>
        <v>30 Park Pl, Unit 51A</v>
      </c>
      <c r="B563" s="2" t="str">
        <f t="shared" si="93"/>
        <v>30 Park Pl</v>
      </c>
      <c r="C563" s="1" t="s">
        <v>40</v>
      </c>
      <c r="D563" s="1" t="s">
        <v>41</v>
      </c>
      <c r="E563" s="3">
        <v>5450000</v>
      </c>
      <c r="F563" s="1">
        <v>2464.9479873360401</v>
      </c>
      <c r="G563" s="1">
        <v>6</v>
      </c>
      <c r="H563" s="1">
        <v>3</v>
      </c>
      <c r="I563" s="1">
        <v>4</v>
      </c>
      <c r="J563" s="1">
        <v>3.5</v>
      </c>
      <c r="K563" s="1">
        <v>3</v>
      </c>
      <c r="L563" s="1">
        <v>1</v>
      </c>
      <c r="M563" s="4">
        <v>2211</v>
      </c>
      <c r="N563" s="1">
        <v>1964</v>
      </c>
      <c r="O563" s="1">
        <v>6848</v>
      </c>
      <c r="P563" s="1">
        <v>4884</v>
      </c>
      <c r="Q563" s="1" t="s">
        <v>42</v>
      </c>
      <c r="S563" s="1" t="s">
        <v>42</v>
      </c>
      <c r="T563" s="1" t="s">
        <v>203</v>
      </c>
      <c r="U563" s="1">
        <v>287</v>
      </c>
      <c r="V563" s="5">
        <v>44060</v>
      </c>
      <c r="W563" s="5">
        <v>43623</v>
      </c>
      <c r="X563" s="1">
        <v>6500000</v>
      </c>
      <c r="Y563" s="1">
        <v>6500000</v>
      </c>
      <c r="Z563" s="5">
        <v>43999</v>
      </c>
      <c r="AA563" s="1">
        <v>5450000</v>
      </c>
      <c r="AB563" s="1" t="s">
        <v>402</v>
      </c>
      <c r="AC563" s="5">
        <v>44089</v>
      </c>
      <c r="AF563" s="1">
        <v>10007</v>
      </c>
      <c r="AI563" s="1" t="s">
        <v>403</v>
      </c>
      <c r="AJ563" s="1">
        <v>2016</v>
      </c>
      <c r="AK563" s="1" t="s">
        <v>81</v>
      </c>
      <c r="AL563" s="1">
        <v>157</v>
      </c>
    </row>
    <row r="564" spans="1:38" x14ac:dyDescent="0.2">
      <c r="A564" s="2" t="str">
        <f>HYPERLINK("https://www.compass.com/listing/30-park-place-unit-42e-manhattan-ny-10007/29357558116387889/","30 Park Pl, Unit 42E")</f>
        <v>30 Park Pl, Unit 42E</v>
      </c>
      <c r="B564" s="2" t="str">
        <f t="shared" si="93"/>
        <v>30 Park Pl</v>
      </c>
      <c r="C564" s="1" t="s">
        <v>40</v>
      </c>
      <c r="D564" s="1" t="s">
        <v>41</v>
      </c>
      <c r="E564" s="3">
        <v>4683950</v>
      </c>
      <c r="F564" s="1">
        <v>2610.8974358974301</v>
      </c>
      <c r="G564" s="1">
        <v>5</v>
      </c>
      <c r="H564" s="1">
        <v>3</v>
      </c>
      <c r="I564" s="1">
        <v>2</v>
      </c>
      <c r="J564" s="1">
        <v>2</v>
      </c>
      <c r="K564" s="1">
        <v>2</v>
      </c>
      <c r="M564" s="4">
        <v>1794</v>
      </c>
      <c r="N564" s="1">
        <v>1441</v>
      </c>
      <c r="O564" s="1">
        <v>5115</v>
      </c>
      <c r="P564" s="1">
        <v>3674</v>
      </c>
      <c r="Q564" s="1" t="s">
        <v>42</v>
      </c>
      <c r="S564" s="1" t="s">
        <v>42</v>
      </c>
      <c r="T564" s="1" t="s">
        <v>203</v>
      </c>
      <c r="U564" s="1">
        <v>12</v>
      </c>
      <c r="V564" s="5">
        <v>43673</v>
      </c>
      <c r="W564" s="5">
        <v>41802</v>
      </c>
      <c r="X564" s="1">
        <v>4850000</v>
      </c>
      <c r="Y564" s="1">
        <v>4850000</v>
      </c>
      <c r="Z564" s="5">
        <v>41814</v>
      </c>
      <c r="AA564" s="1">
        <v>4683950</v>
      </c>
      <c r="AB564" s="1" t="s">
        <v>404</v>
      </c>
      <c r="AC564" s="5">
        <v>42591</v>
      </c>
      <c r="AF564" s="1">
        <v>10007</v>
      </c>
      <c r="AJ564" s="1">
        <v>2016</v>
      </c>
      <c r="AK564" s="1" t="s">
        <v>81</v>
      </c>
      <c r="AL564" s="1">
        <v>157</v>
      </c>
    </row>
    <row r="565" spans="1:38" x14ac:dyDescent="0.2">
      <c r="A565" s="2" t="str">
        <f>HYPERLINK("https://www.compass.com/listing/30-park-place-unit-43e-manhattan-ny-10007/29357559542549425/","30 Park Pl, Unit 43E")</f>
        <v>30 Park Pl, Unit 43E</v>
      </c>
      <c r="B565" s="2" t="str">
        <f t="shared" si="93"/>
        <v>30 Park Pl</v>
      </c>
      <c r="C565" s="1" t="s">
        <v>40</v>
      </c>
      <c r="D565" s="1" t="s">
        <v>41</v>
      </c>
      <c r="E565" s="3">
        <v>4836688</v>
      </c>
      <c r="F565" s="1">
        <v>2696.03567447045</v>
      </c>
      <c r="G565" s="1">
        <v>5</v>
      </c>
      <c r="H565" s="1">
        <v>3</v>
      </c>
      <c r="I565" s="1">
        <v>2</v>
      </c>
      <c r="J565" s="1">
        <v>2</v>
      </c>
      <c r="K565" s="1">
        <v>2</v>
      </c>
      <c r="M565" s="4">
        <v>1794</v>
      </c>
      <c r="N565" s="1">
        <v>1444</v>
      </c>
      <c r="O565" s="1">
        <v>5125</v>
      </c>
      <c r="P565" s="1">
        <v>3681</v>
      </c>
      <c r="Q565" s="1" t="s">
        <v>42</v>
      </c>
      <c r="S565" s="1" t="s">
        <v>42</v>
      </c>
      <c r="T565" s="1" t="s">
        <v>203</v>
      </c>
      <c r="U565" s="1">
        <v>4</v>
      </c>
      <c r="V565" s="5">
        <v>43675</v>
      </c>
      <c r="W565" s="5">
        <v>41796</v>
      </c>
      <c r="X565" s="1">
        <v>4900000</v>
      </c>
      <c r="Y565" s="1">
        <v>4900000</v>
      </c>
      <c r="Z565" s="5">
        <v>41800</v>
      </c>
      <c r="AA565" s="1">
        <v>4836688</v>
      </c>
      <c r="AB565" s="1" t="s">
        <v>405</v>
      </c>
      <c r="AC565" s="5">
        <v>42571</v>
      </c>
      <c r="AF565" s="1">
        <v>10007</v>
      </c>
      <c r="AJ565" s="1">
        <v>2016</v>
      </c>
      <c r="AK565" s="1" t="s">
        <v>81</v>
      </c>
      <c r="AL565" s="1">
        <v>157</v>
      </c>
    </row>
    <row r="566" spans="1:38" x14ac:dyDescent="0.2">
      <c r="A566" s="2" t="str">
        <f>HYPERLINK("https://www.compass.com/listing/30-park-place-unit-44e-manhattan-ny-10007/29357561085955169/","30 Park Pl, Unit 44E")</f>
        <v>30 Park Pl, Unit 44E</v>
      </c>
      <c r="B566" s="2" t="str">
        <f t="shared" si="93"/>
        <v>30 Park Pl</v>
      </c>
      <c r="C566" s="1" t="s">
        <v>40</v>
      </c>
      <c r="D566" s="1" t="s">
        <v>41</v>
      </c>
      <c r="E566" s="3">
        <v>5040338</v>
      </c>
      <c r="F566" s="1">
        <v>2809.5529542920799</v>
      </c>
      <c r="G566" s="1">
        <v>5</v>
      </c>
      <c r="H566" s="1">
        <v>3</v>
      </c>
      <c r="I566" s="1">
        <v>2</v>
      </c>
      <c r="J566" s="1">
        <v>2</v>
      </c>
      <c r="K566" s="1">
        <v>2</v>
      </c>
      <c r="M566" s="4">
        <v>1794</v>
      </c>
      <c r="N566" s="1">
        <v>1447</v>
      </c>
      <c r="O566" s="1">
        <v>5135</v>
      </c>
      <c r="P566" s="1">
        <v>3688</v>
      </c>
      <c r="Q566" s="1" t="s">
        <v>42</v>
      </c>
      <c r="S566" s="1" t="s">
        <v>42</v>
      </c>
      <c r="T566" s="1" t="s">
        <v>203</v>
      </c>
      <c r="U566" s="1">
        <v>28</v>
      </c>
      <c r="V566" s="5">
        <v>43673</v>
      </c>
      <c r="W566" s="5">
        <v>41808</v>
      </c>
      <c r="X566" s="1">
        <v>4950000</v>
      </c>
      <c r="Y566" s="1">
        <v>4950000</v>
      </c>
      <c r="Z566" s="5">
        <v>41836</v>
      </c>
      <c r="AA566" s="1">
        <v>5040338</v>
      </c>
      <c r="AB566" s="1" t="s">
        <v>406</v>
      </c>
      <c r="AC566" s="5">
        <v>42592</v>
      </c>
      <c r="AF566" s="1">
        <v>10007</v>
      </c>
      <c r="AJ566" s="1">
        <v>2016</v>
      </c>
      <c r="AK566" s="1" t="s">
        <v>81</v>
      </c>
      <c r="AL566" s="1">
        <v>157</v>
      </c>
    </row>
    <row r="567" spans="1:38" x14ac:dyDescent="0.2">
      <c r="A567" s="2" t="str">
        <f>HYPERLINK("https://www.compass.com/listing/30-park-place-unit-46b-manhattan-ny-10007/29357562755291345/","30 Park Pl, Unit 46B")</f>
        <v>30 Park Pl, Unit 46B</v>
      </c>
      <c r="B567" s="2" t="str">
        <f t="shared" si="93"/>
        <v>30 Park Pl</v>
      </c>
      <c r="C567" s="1" t="s">
        <v>40</v>
      </c>
      <c r="D567" s="1" t="s">
        <v>41</v>
      </c>
      <c r="E567" s="3">
        <v>5361086</v>
      </c>
      <c r="F567" s="1">
        <v>3221.8064903846098</v>
      </c>
      <c r="G567" s="1">
        <v>4</v>
      </c>
      <c r="H567" s="1">
        <v>2</v>
      </c>
      <c r="I567" s="1">
        <v>2</v>
      </c>
      <c r="J567" s="1">
        <v>2</v>
      </c>
      <c r="K567" s="1">
        <v>2</v>
      </c>
      <c r="M567" s="4">
        <v>1664</v>
      </c>
      <c r="N567" s="1">
        <v>1335</v>
      </c>
      <c r="O567" s="1">
        <v>4739</v>
      </c>
      <c r="P567" s="1">
        <v>3404</v>
      </c>
      <c r="Q567" s="1" t="s">
        <v>42</v>
      </c>
      <c r="S567" s="1" t="s">
        <v>42</v>
      </c>
      <c r="T567" s="1" t="s">
        <v>203</v>
      </c>
      <c r="U567" s="1">
        <v>11</v>
      </c>
      <c r="V567" s="5">
        <v>43673</v>
      </c>
      <c r="W567" s="5">
        <v>41923</v>
      </c>
      <c r="X567" s="1">
        <v>5265000</v>
      </c>
      <c r="Y567" s="1">
        <v>5265000</v>
      </c>
      <c r="Z567" s="5">
        <v>41934</v>
      </c>
      <c r="AA567" s="1">
        <v>5361086</v>
      </c>
      <c r="AB567" s="1" t="s">
        <v>407</v>
      </c>
      <c r="AC567" s="5">
        <v>42641</v>
      </c>
      <c r="AF567" s="1">
        <v>10007</v>
      </c>
      <c r="AJ567" s="1">
        <v>2016</v>
      </c>
      <c r="AK567" s="1" t="s">
        <v>81</v>
      </c>
      <c r="AL567" s="1">
        <v>157</v>
      </c>
    </row>
    <row r="568" spans="1:38" x14ac:dyDescent="0.2">
      <c r="A568" s="2" t="str">
        <f>HYPERLINK("https://www.compass.com/listing/30-park-place-unit-47b-manhattan-ny-10007/29357564055522449/","30 Park Pl, Unit 47B")</f>
        <v>30 Park Pl, Unit 47B</v>
      </c>
      <c r="B568" s="2" t="str">
        <f t="shared" si="93"/>
        <v>30 Park Pl</v>
      </c>
      <c r="C568" s="1" t="s">
        <v>40</v>
      </c>
      <c r="D568" s="1" t="s">
        <v>41</v>
      </c>
      <c r="E568" s="3">
        <v>5019973</v>
      </c>
      <c r="F568" s="1">
        <v>3016.8106971153802</v>
      </c>
      <c r="G568" s="1">
        <v>4</v>
      </c>
      <c r="H568" s="1">
        <v>2</v>
      </c>
      <c r="I568" s="1">
        <v>2</v>
      </c>
      <c r="J568" s="1">
        <v>2</v>
      </c>
      <c r="K568" s="1">
        <v>2</v>
      </c>
      <c r="M568" s="4">
        <v>1664</v>
      </c>
      <c r="N568" s="1">
        <v>1338</v>
      </c>
      <c r="O568" s="1">
        <v>4748</v>
      </c>
      <c r="P568" s="1">
        <v>3410</v>
      </c>
      <c r="Q568" s="1" t="s">
        <v>42</v>
      </c>
      <c r="S568" s="1" t="s">
        <v>42</v>
      </c>
      <c r="T568" s="1" t="s">
        <v>203</v>
      </c>
      <c r="U568" s="1">
        <v>16</v>
      </c>
      <c r="V568" s="5">
        <v>43675</v>
      </c>
      <c r="W568" s="5">
        <v>41821</v>
      </c>
      <c r="X568" s="1">
        <v>5105000</v>
      </c>
      <c r="Y568" s="1">
        <v>4930000</v>
      </c>
      <c r="Z568" s="5">
        <v>41837</v>
      </c>
      <c r="AA568" s="1">
        <v>5019973</v>
      </c>
      <c r="AB568" s="1" t="s">
        <v>408</v>
      </c>
      <c r="AC568" s="5">
        <v>42663</v>
      </c>
      <c r="AF568" s="1">
        <v>10007</v>
      </c>
      <c r="AJ568" s="1">
        <v>2016</v>
      </c>
      <c r="AK568" s="1" t="s">
        <v>81</v>
      </c>
      <c r="AL568" s="1">
        <v>157</v>
      </c>
    </row>
    <row r="569" spans="1:38" x14ac:dyDescent="0.2">
      <c r="A569" s="2" t="str">
        <f>HYPERLINK("https://www.compass.com/listing/30-park-place-unit-51b-manhattan-ny-10007/29357569273334865/","30 Park Pl, Unit 51B")</f>
        <v>30 Park Pl, Unit 51B</v>
      </c>
      <c r="B569" s="2" t="str">
        <f t="shared" si="93"/>
        <v>30 Park Pl</v>
      </c>
      <c r="C569" s="1" t="s">
        <v>40</v>
      </c>
      <c r="D569" s="1" t="s">
        <v>41</v>
      </c>
      <c r="E569" s="3">
        <v>4724680</v>
      </c>
      <c r="F569" s="1">
        <v>2839.3509615384601</v>
      </c>
      <c r="G569" s="1">
        <v>4</v>
      </c>
      <c r="H569" s="1">
        <v>2</v>
      </c>
      <c r="I569" s="1">
        <v>2</v>
      </c>
      <c r="J569" s="1">
        <v>2</v>
      </c>
      <c r="K569" s="1">
        <v>2</v>
      </c>
      <c r="M569" s="4">
        <v>1664</v>
      </c>
      <c r="N569" s="1">
        <v>1346</v>
      </c>
      <c r="O569" s="1">
        <v>4777</v>
      </c>
      <c r="P569" s="1">
        <v>3431</v>
      </c>
      <c r="Q569" s="1" t="s">
        <v>42</v>
      </c>
      <c r="S569" s="1" t="s">
        <v>42</v>
      </c>
      <c r="T569" s="1" t="s">
        <v>203</v>
      </c>
      <c r="U569" s="1">
        <v>20</v>
      </c>
      <c r="V569" s="5">
        <v>43672</v>
      </c>
      <c r="W569" s="5">
        <v>41857</v>
      </c>
      <c r="X569" s="1">
        <v>5265000</v>
      </c>
      <c r="Y569" s="1">
        <v>5265000</v>
      </c>
      <c r="Z569" s="5">
        <v>41877</v>
      </c>
      <c r="AA569" s="1">
        <v>4724680</v>
      </c>
      <c r="AB569" s="1" t="s">
        <v>409</v>
      </c>
      <c r="AC569" s="5">
        <v>42740</v>
      </c>
      <c r="AF569" s="1">
        <v>10007</v>
      </c>
      <c r="AJ569" s="1">
        <v>2016</v>
      </c>
      <c r="AK569" s="1" t="s">
        <v>81</v>
      </c>
      <c r="AL569" s="1">
        <v>157</v>
      </c>
    </row>
    <row r="570" spans="1:38" x14ac:dyDescent="0.2">
      <c r="A570" s="2" t="str">
        <f>HYPERLINK("https://www.compass.com/listing/30-park-place-unit-60d-manhattan-ny-10007/29357582258900241/","30 Park Pl, Unit 60D")</f>
        <v>30 Park Pl, Unit 60D</v>
      </c>
      <c r="B570" s="2" t="str">
        <f t="shared" si="93"/>
        <v>30 Park Pl</v>
      </c>
      <c r="C570" s="1" t="s">
        <v>40</v>
      </c>
      <c r="D570" s="1" t="s">
        <v>41</v>
      </c>
      <c r="E570" s="3">
        <v>4831596</v>
      </c>
      <c r="F570" s="1">
        <v>3141.4798439531801</v>
      </c>
      <c r="G570" s="1">
        <v>4</v>
      </c>
      <c r="H570" s="1">
        <v>2</v>
      </c>
      <c r="I570" s="1">
        <v>2</v>
      </c>
      <c r="J570" s="1">
        <v>2</v>
      </c>
      <c r="K570" s="1">
        <v>2</v>
      </c>
      <c r="M570" s="4">
        <v>1538</v>
      </c>
      <c r="N570" s="1">
        <v>1266</v>
      </c>
      <c r="O570" s="1">
        <v>4493</v>
      </c>
      <c r="P570" s="1">
        <v>3227</v>
      </c>
      <c r="Q570" s="1" t="s">
        <v>42</v>
      </c>
      <c r="S570" s="1" t="s">
        <v>42</v>
      </c>
      <c r="T570" s="1" t="s">
        <v>203</v>
      </c>
      <c r="U570" s="1">
        <v>44</v>
      </c>
      <c r="V570" s="5">
        <v>43668</v>
      </c>
      <c r="W570" s="5">
        <v>41835</v>
      </c>
      <c r="X570" s="1">
        <v>4745000</v>
      </c>
      <c r="Y570" s="1">
        <v>4745000</v>
      </c>
      <c r="Z570" s="5">
        <v>41879</v>
      </c>
      <c r="AA570" s="1">
        <v>4831596</v>
      </c>
      <c r="AB570" s="1" t="s">
        <v>410</v>
      </c>
      <c r="AC570" s="5">
        <v>42754</v>
      </c>
      <c r="AF570" s="1">
        <v>10007</v>
      </c>
      <c r="AJ570" s="1">
        <v>2016</v>
      </c>
      <c r="AK570" s="1" t="s">
        <v>81</v>
      </c>
      <c r="AL570" s="1">
        <v>157</v>
      </c>
    </row>
    <row r="571" spans="1:38" x14ac:dyDescent="0.2">
      <c r="A571" s="2" t="str">
        <f>HYPERLINK("https://www.compass.com/listing/30-park-place-unit-42b-manhattan-ny-10007/29669252902541793/","30 Park Pl, Unit 42B")</f>
        <v>30 Park Pl, Unit 42B</v>
      </c>
      <c r="B571" s="2" t="str">
        <f t="shared" si="93"/>
        <v>30 Park Pl</v>
      </c>
      <c r="C571" s="1" t="s">
        <v>40</v>
      </c>
      <c r="D571" s="1" t="s">
        <v>41</v>
      </c>
      <c r="E571" s="3">
        <v>4816323</v>
      </c>
      <c r="F571" s="1">
        <v>2894.4248798076901</v>
      </c>
      <c r="G571" s="1">
        <v>4</v>
      </c>
      <c r="H571" s="1">
        <v>2</v>
      </c>
      <c r="I571" s="1">
        <v>2</v>
      </c>
      <c r="J571" s="1">
        <v>2</v>
      </c>
      <c r="K571" s="1">
        <v>2</v>
      </c>
      <c r="M571" s="4">
        <v>1664</v>
      </c>
      <c r="N571" s="1">
        <v>1327</v>
      </c>
      <c r="O571" s="1">
        <v>4710</v>
      </c>
      <c r="P571" s="1">
        <v>3383</v>
      </c>
      <c r="Q571" s="1" t="s">
        <v>42</v>
      </c>
      <c r="S571" s="1" t="s">
        <v>42</v>
      </c>
      <c r="T571" s="1" t="s">
        <v>203</v>
      </c>
      <c r="U571" s="1">
        <v>15</v>
      </c>
      <c r="V571" s="5">
        <v>43665</v>
      </c>
      <c r="W571" s="5">
        <v>41919</v>
      </c>
      <c r="X571" s="1">
        <v>5105000</v>
      </c>
      <c r="Y571" s="1">
        <v>4730000</v>
      </c>
      <c r="Z571" s="5">
        <v>41934</v>
      </c>
      <c r="AA571" s="1">
        <v>4816323</v>
      </c>
      <c r="AB571" s="1" t="s">
        <v>411</v>
      </c>
      <c r="AC571" s="5">
        <v>42627</v>
      </c>
      <c r="AF571" s="1">
        <v>10007</v>
      </c>
      <c r="AJ571" s="1">
        <v>2016</v>
      </c>
      <c r="AK571" s="1" t="s">
        <v>81</v>
      </c>
      <c r="AL571" s="1">
        <v>157</v>
      </c>
    </row>
    <row r="572" spans="1:38" x14ac:dyDescent="0.2">
      <c r="A572" s="2" t="str">
        <f>HYPERLINK("https://www.compass.com/listing/30-park-place-unit-50e-manhattan-ny-10007/29357568954469601/","30 Park Pl, Unit 50E")</f>
        <v>30 Park Pl, Unit 50E</v>
      </c>
      <c r="B572" s="2" t="str">
        <f t="shared" si="93"/>
        <v>30 Park Pl</v>
      </c>
      <c r="C572" s="1" t="s">
        <v>40</v>
      </c>
      <c r="D572" s="1" t="s">
        <v>41</v>
      </c>
      <c r="E572" s="3">
        <v>5345813</v>
      </c>
      <c r="F572" s="1">
        <v>2979.8288740245198</v>
      </c>
      <c r="G572" s="1">
        <v>5</v>
      </c>
      <c r="H572" s="1">
        <v>3</v>
      </c>
      <c r="I572" s="1">
        <v>2</v>
      </c>
      <c r="J572" s="1">
        <v>2</v>
      </c>
      <c r="K572" s="1">
        <v>2</v>
      </c>
      <c r="M572" s="4">
        <v>1794</v>
      </c>
      <c r="N572" s="1">
        <v>1462</v>
      </c>
      <c r="O572" s="1">
        <v>5190</v>
      </c>
      <c r="P572" s="1">
        <v>3728</v>
      </c>
      <c r="Q572" s="1" t="s">
        <v>42</v>
      </c>
      <c r="S572" s="1" t="s">
        <v>42</v>
      </c>
      <c r="T572" s="1" t="s">
        <v>203</v>
      </c>
      <c r="U572" s="1">
        <v>82</v>
      </c>
      <c r="V572" s="5">
        <v>43676</v>
      </c>
      <c r="W572" s="5">
        <v>41837</v>
      </c>
      <c r="X572" s="1">
        <v>5250000</v>
      </c>
      <c r="Y572" s="1">
        <v>5250000</v>
      </c>
      <c r="Z572" s="5">
        <v>41919</v>
      </c>
      <c r="AA572" s="1">
        <v>5345813</v>
      </c>
      <c r="AB572" s="1" t="s">
        <v>412</v>
      </c>
      <c r="AC572" s="5">
        <v>42650</v>
      </c>
      <c r="AF572" s="1">
        <v>10007</v>
      </c>
      <c r="AJ572" s="1">
        <v>2016</v>
      </c>
      <c r="AK572" s="1" t="s">
        <v>81</v>
      </c>
      <c r="AL572" s="1">
        <v>157</v>
      </c>
    </row>
    <row r="573" spans="1:38" x14ac:dyDescent="0.2">
      <c r="A573" s="2" t="str">
        <f>HYPERLINK("https://www.compass.com/listing/175-west-95th-street-unit-28hj-manhattan-ny-10025/4852263572476005073/","175 W 95th St, Unit 28HJ")</f>
        <v>175 W 95th St, Unit 28HJ</v>
      </c>
      <c r="B573" s="2" t="str">
        <f>HYPERLINK("https://www.compass.com/building/175-w-95th-manhattan-ny/292876785429866517/","175 W 95th")</f>
        <v>175 W 95th</v>
      </c>
      <c r="C573" s="1" t="s">
        <v>47</v>
      </c>
      <c r="D573" s="1" t="s">
        <v>41</v>
      </c>
      <c r="E573" s="3">
        <v>1660000</v>
      </c>
      <c r="F573" s="1">
        <v>1633.85826771653</v>
      </c>
      <c r="G573" s="1">
        <v>4</v>
      </c>
      <c r="H573" s="1">
        <v>2</v>
      </c>
      <c r="I573" s="1">
        <v>2</v>
      </c>
      <c r="J573" s="1">
        <v>2</v>
      </c>
      <c r="K573" s="1">
        <v>2</v>
      </c>
      <c r="M573" s="4">
        <v>1016</v>
      </c>
      <c r="N573" s="1">
        <v>1167</v>
      </c>
      <c r="O573" s="1">
        <v>1712</v>
      </c>
      <c r="P573" s="1">
        <v>545</v>
      </c>
      <c r="Q573" s="1" t="s">
        <v>42</v>
      </c>
      <c r="S573" s="1" t="s">
        <v>42</v>
      </c>
      <c r="T573" s="1" t="s">
        <v>203</v>
      </c>
      <c r="U573" s="1">
        <v>425</v>
      </c>
      <c r="V573" s="5">
        <v>43631</v>
      </c>
      <c r="W573" s="5">
        <v>42252</v>
      </c>
      <c r="X573" s="1">
        <v>1660000</v>
      </c>
      <c r="Y573" s="1">
        <v>1660000</v>
      </c>
      <c r="Z573" s="5">
        <v>42677</v>
      </c>
      <c r="AA573" s="1">
        <v>1660000</v>
      </c>
      <c r="AB573" s="1" t="s">
        <v>413</v>
      </c>
      <c r="AC573" s="5">
        <v>42719</v>
      </c>
      <c r="AF573" s="1">
        <v>10025</v>
      </c>
      <c r="AI573" s="1" t="s">
        <v>100</v>
      </c>
      <c r="AJ573" s="1">
        <v>1971</v>
      </c>
      <c r="AK573" s="1" t="s">
        <v>81</v>
      </c>
      <c r="AL573" s="1">
        <v>226</v>
      </c>
    </row>
    <row r="574" spans="1:38" x14ac:dyDescent="0.2">
      <c r="A574" s="2" t="str">
        <f>HYPERLINK("https://www.compass.com/listing/30-park-place-unit-44b-manhattan-ny-10007/29357560154819665/","30 Park Pl, Unit 44B")</f>
        <v>30 Park Pl, Unit 44B</v>
      </c>
      <c r="B574" s="2" t="str">
        <f t="shared" ref="B574:B577" si="94">HYPERLINK("https://www.compass.com/building/30-park-pl-manhattan-ny-10007/281896912905317605/","30 Park Pl")</f>
        <v>30 Park Pl</v>
      </c>
      <c r="C574" s="1" t="s">
        <v>40</v>
      </c>
      <c r="D574" s="1" t="s">
        <v>41</v>
      </c>
      <c r="E574" s="3">
        <v>5585101</v>
      </c>
      <c r="F574" s="1">
        <v>3356.4308894230699</v>
      </c>
      <c r="G574" s="1">
        <v>4</v>
      </c>
      <c r="H574" s="1">
        <v>2</v>
      </c>
      <c r="I574" s="1">
        <v>2</v>
      </c>
      <c r="J574" s="1">
        <v>2</v>
      </c>
      <c r="K574" s="1">
        <v>2</v>
      </c>
      <c r="M574" s="4">
        <v>1664</v>
      </c>
      <c r="N574" s="1">
        <v>1331</v>
      </c>
      <c r="O574" s="1">
        <v>4725</v>
      </c>
      <c r="P574" s="1">
        <v>3394</v>
      </c>
      <c r="Q574" s="1" t="s">
        <v>42</v>
      </c>
      <c r="S574" s="1" t="s">
        <v>42</v>
      </c>
      <c r="T574" s="1" t="s">
        <v>203</v>
      </c>
      <c r="U574" s="1">
        <v>99</v>
      </c>
      <c r="V574" s="5">
        <v>43665</v>
      </c>
      <c r="W574" s="5">
        <v>42384</v>
      </c>
      <c r="X574" s="1">
        <v>5485000</v>
      </c>
      <c r="Y574" s="1">
        <v>5485000</v>
      </c>
      <c r="Z574" s="5">
        <v>42483</v>
      </c>
      <c r="AA574" s="1">
        <v>5585101</v>
      </c>
      <c r="AB574" s="1" t="s">
        <v>414</v>
      </c>
      <c r="AC574" s="5">
        <v>42644</v>
      </c>
      <c r="AF574" s="1">
        <v>10007</v>
      </c>
      <c r="AJ574" s="1">
        <v>2016</v>
      </c>
      <c r="AK574" s="1" t="s">
        <v>81</v>
      </c>
      <c r="AL574" s="1">
        <v>157</v>
      </c>
    </row>
    <row r="575" spans="1:38" x14ac:dyDescent="0.2">
      <c r="A575" s="2" t="str">
        <f>HYPERLINK("https://www.compass.com/listing/30-park-place-unit-50b-manhattan-ny-10007/29357567956225233/","30 Park Pl, Unit 50B")</f>
        <v>30 Park Pl, Unit 50B</v>
      </c>
      <c r="B575" s="2" t="str">
        <f t="shared" si="94"/>
        <v>30 Park Pl</v>
      </c>
      <c r="C575" s="1" t="s">
        <v>40</v>
      </c>
      <c r="D575" s="1" t="s">
        <v>41</v>
      </c>
      <c r="E575" s="3">
        <v>4683950</v>
      </c>
      <c r="F575" s="1">
        <v>2814.8737980769201</v>
      </c>
      <c r="G575" s="1">
        <v>4</v>
      </c>
      <c r="H575" s="1">
        <v>2</v>
      </c>
      <c r="I575" s="1">
        <v>2</v>
      </c>
      <c r="J575" s="1">
        <v>2</v>
      </c>
      <c r="K575" s="1">
        <v>2</v>
      </c>
      <c r="M575" s="4">
        <v>1664</v>
      </c>
      <c r="N575" s="1">
        <v>1344</v>
      </c>
      <c r="O575" s="1">
        <v>4770</v>
      </c>
      <c r="P575" s="1">
        <v>3426</v>
      </c>
      <c r="Q575" s="1" t="s">
        <v>42</v>
      </c>
      <c r="S575" s="1" t="s">
        <v>42</v>
      </c>
      <c r="T575" s="1" t="s">
        <v>203</v>
      </c>
      <c r="U575" s="1">
        <v>27</v>
      </c>
      <c r="V575" s="5">
        <v>42812</v>
      </c>
      <c r="W575" s="5">
        <v>41786</v>
      </c>
      <c r="X575" s="1">
        <v>4683950</v>
      </c>
      <c r="Y575" s="1">
        <v>4600000</v>
      </c>
      <c r="Z575" s="5">
        <v>41814</v>
      </c>
      <c r="AA575" s="1">
        <v>4683950</v>
      </c>
      <c r="AB575" s="1" t="s">
        <v>415</v>
      </c>
      <c r="AC575" s="5">
        <v>42740</v>
      </c>
      <c r="AF575" s="1">
        <v>10007</v>
      </c>
      <c r="AJ575" s="1">
        <v>2016</v>
      </c>
      <c r="AK575" s="1" t="s">
        <v>81</v>
      </c>
      <c r="AL575" s="1">
        <v>157</v>
      </c>
    </row>
    <row r="576" spans="1:38" x14ac:dyDescent="0.2">
      <c r="A576" s="2" t="str">
        <f>HYPERLINK("https://www.compass.com/listing/30-park-place-unit-46a-manhattan-ny-10007/29512131640626241/","30 Park Pl, Unit 46A")</f>
        <v>30 Park Pl, Unit 46A</v>
      </c>
      <c r="B576" s="2" t="str">
        <f t="shared" si="94"/>
        <v>30 Park Pl</v>
      </c>
      <c r="C576" s="1" t="s">
        <v>40</v>
      </c>
      <c r="D576" s="1" t="s">
        <v>41</v>
      </c>
      <c r="E576" s="3">
        <v>5945000</v>
      </c>
      <c r="F576" s="1">
        <v>2679.1347453807998</v>
      </c>
      <c r="G576" s="1">
        <v>5</v>
      </c>
      <c r="H576" s="1">
        <v>3</v>
      </c>
      <c r="I576" s="1">
        <v>4</v>
      </c>
      <c r="J576" s="1">
        <v>3.5</v>
      </c>
      <c r="K576" s="1">
        <v>3</v>
      </c>
      <c r="L576" s="1">
        <v>1</v>
      </c>
      <c r="M576" s="4">
        <v>2219</v>
      </c>
      <c r="N576" s="1">
        <v>1899</v>
      </c>
      <c r="O576" s="1">
        <v>6762</v>
      </c>
      <c r="P576" s="1">
        <v>4863</v>
      </c>
      <c r="Q576" s="1" t="s">
        <v>42</v>
      </c>
      <c r="S576" s="1" t="s">
        <v>42</v>
      </c>
      <c r="T576" s="1" t="s">
        <v>203</v>
      </c>
      <c r="U576" s="1">
        <v>702</v>
      </c>
      <c r="V576" s="5">
        <v>43694</v>
      </c>
      <c r="W576" s="5">
        <v>42880</v>
      </c>
      <c r="X576" s="1">
        <v>6700000</v>
      </c>
      <c r="Y576" s="1">
        <v>5995000</v>
      </c>
      <c r="Z576" s="5">
        <v>43582</v>
      </c>
      <c r="AA576" s="1">
        <v>5945000</v>
      </c>
      <c r="AB576" s="1" t="s">
        <v>416</v>
      </c>
      <c r="AC576" s="5">
        <v>43615</v>
      </c>
      <c r="AF576" s="1">
        <v>10007</v>
      </c>
      <c r="AJ576" s="1">
        <v>2016</v>
      </c>
      <c r="AK576" s="1" t="s">
        <v>81</v>
      </c>
      <c r="AL576" s="1">
        <v>157</v>
      </c>
    </row>
    <row r="577" spans="1:38" x14ac:dyDescent="0.2">
      <c r="A577" s="2" t="str">
        <f>HYPERLINK("https://www.compass.com/listing/30-park-place-unit-46c-manhattan-ny-10007/86075670081317825/","30 Park Pl, Unit 46C")</f>
        <v>30 Park Pl, Unit 46C</v>
      </c>
      <c r="B577" s="2" t="str">
        <f t="shared" si="94"/>
        <v>30 Park Pl</v>
      </c>
      <c r="C577" s="1" t="s">
        <v>40</v>
      </c>
      <c r="D577" s="1" t="s">
        <v>41</v>
      </c>
      <c r="E577" s="3">
        <v>2600000</v>
      </c>
      <c r="F577" s="1">
        <v>2346.5703971119101</v>
      </c>
      <c r="G577" s="1">
        <v>3</v>
      </c>
      <c r="H577" s="1">
        <v>1</v>
      </c>
      <c r="I577" s="1">
        <v>2</v>
      </c>
      <c r="J577" s="1">
        <v>1.5</v>
      </c>
      <c r="K577" s="1">
        <v>1</v>
      </c>
      <c r="L577" s="1">
        <v>1</v>
      </c>
      <c r="M577" s="4">
        <v>1108</v>
      </c>
      <c r="N577" s="1">
        <v>884</v>
      </c>
      <c r="O577" s="1">
        <v>3157</v>
      </c>
      <c r="P577" s="1">
        <v>2273</v>
      </c>
      <c r="Q577" s="1" t="s">
        <v>42</v>
      </c>
      <c r="S577" s="1" t="s">
        <v>42</v>
      </c>
      <c r="T577" s="1" t="s">
        <v>203</v>
      </c>
      <c r="U577" s="1">
        <v>190</v>
      </c>
      <c r="V577" s="5">
        <v>43694</v>
      </c>
      <c r="W577" s="5">
        <v>43370</v>
      </c>
      <c r="X577" s="1">
        <v>2845000</v>
      </c>
      <c r="Y577" s="1">
        <v>2845000</v>
      </c>
      <c r="Z577" s="5">
        <v>43560</v>
      </c>
      <c r="AA577" s="1">
        <v>2600000</v>
      </c>
      <c r="AB577" s="1" t="s">
        <v>417</v>
      </c>
      <c r="AC577" s="5">
        <v>43622</v>
      </c>
      <c r="AF577" s="1">
        <v>10007</v>
      </c>
      <c r="AJ577" s="1">
        <v>2016</v>
      </c>
      <c r="AK577" s="1" t="s">
        <v>81</v>
      </c>
      <c r="AL577" s="1">
        <v>157</v>
      </c>
    </row>
    <row r="578" spans="1:38" x14ac:dyDescent="0.2">
      <c r="A578" s="2" t="str">
        <f>HYPERLINK("https://www.compass.com/listing/34-west-17th-street-unit-2-manhattan-ny-10011/29374425887524033/","34 W 17th St, Unit 2")</f>
        <v>34 W 17th St, Unit 2</v>
      </c>
      <c r="B578" s="2" t="str">
        <f t="shared" ref="B578:B579" si="95">HYPERLINK("https://www.compass.com/building/the-paperbox-building-manhattan-ny/281909156036761877/","The Paperbox Building")</f>
        <v>The Paperbox Building</v>
      </c>
      <c r="C578" s="1" t="s">
        <v>358</v>
      </c>
      <c r="D578" s="1" t="s">
        <v>41</v>
      </c>
      <c r="E578" s="3">
        <v>3700000</v>
      </c>
      <c r="F578" s="1">
        <v>1676.4839148164899</v>
      </c>
      <c r="G578" s="1">
        <v>7</v>
      </c>
      <c r="H578" s="1">
        <v>3</v>
      </c>
      <c r="I578" s="1">
        <v>3</v>
      </c>
      <c r="J578" s="1">
        <v>3</v>
      </c>
      <c r="M578" s="4">
        <v>2207</v>
      </c>
      <c r="N578" s="1">
        <v>1771</v>
      </c>
      <c r="O578" s="1">
        <v>4207</v>
      </c>
      <c r="P578" s="1">
        <v>2436</v>
      </c>
      <c r="Q578" s="1" t="s">
        <v>42</v>
      </c>
      <c r="S578" s="1" t="s">
        <v>42</v>
      </c>
      <c r="T578" s="1" t="s">
        <v>203</v>
      </c>
      <c r="U578" s="1">
        <v>72</v>
      </c>
      <c r="V578" s="5">
        <v>43668</v>
      </c>
      <c r="W578" s="5">
        <v>42689</v>
      </c>
      <c r="X578" s="1">
        <v>3875000</v>
      </c>
      <c r="Y578" s="1">
        <v>3875000</v>
      </c>
      <c r="Z578" s="5">
        <v>42761</v>
      </c>
      <c r="AA578" s="1">
        <v>3700000</v>
      </c>
      <c r="AB578" s="1" t="s">
        <v>418</v>
      </c>
      <c r="AC578" s="5">
        <v>42842</v>
      </c>
      <c r="AF578" s="1">
        <v>10011</v>
      </c>
      <c r="AI578" s="1" t="s">
        <v>71</v>
      </c>
      <c r="AJ578" s="1">
        <v>1910</v>
      </c>
      <c r="AK578" s="1" t="s">
        <v>94</v>
      </c>
      <c r="AL578" s="1">
        <v>9</v>
      </c>
    </row>
    <row r="579" spans="1:38" x14ac:dyDescent="0.2">
      <c r="A579" s="2" t="str">
        <f>HYPERLINK("https://www.compass.com/listing/34-west-17th-street-unit-7-manhattan-ny-10011/29374428093672913/","34 W 17th St, Unit 7")</f>
        <v>34 W 17th St, Unit 7</v>
      </c>
      <c r="B579" s="2" t="str">
        <f t="shared" si="95"/>
        <v>The Paperbox Building</v>
      </c>
      <c r="C579" s="1" t="s">
        <v>358</v>
      </c>
      <c r="D579" s="1" t="s">
        <v>41</v>
      </c>
      <c r="E579" s="3">
        <v>4238325</v>
      </c>
      <c r="F579" s="1">
        <v>1898.0407523510901</v>
      </c>
      <c r="G579" s="1">
        <v>7</v>
      </c>
      <c r="H579" s="1">
        <v>3</v>
      </c>
      <c r="I579" s="1">
        <v>3</v>
      </c>
      <c r="J579" s="1">
        <v>3</v>
      </c>
      <c r="M579" s="4">
        <v>2233</v>
      </c>
      <c r="N579" s="1">
        <v>1792</v>
      </c>
      <c r="O579" s="1">
        <v>4257</v>
      </c>
      <c r="P579" s="1">
        <v>2465</v>
      </c>
      <c r="Q579" s="1" t="s">
        <v>42</v>
      </c>
      <c r="S579" s="1" t="s">
        <v>42</v>
      </c>
      <c r="T579" s="1" t="s">
        <v>203</v>
      </c>
      <c r="U579" s="1">
        <v>308</v>
      </c>
      <c r="V579" s="5">
        <v>43649</v>
      </c>
      <c r="W579" s="5">
        <v>42689</v>
      </c>
      <c r="X579" s="1">
        <v>4475000</v>
      </c>
      <c r="Y579" s="1">
        <v>4475000</v>
      </c>
      <c r="Z579" s="5">
        <v>42997</v>
      </c>
      <c r="AA579" s="1">
        <v>4238325</v>
      </c>
      <c r="AB579" s="1" t="s">
        <v>419</v>
      </c>
      <c r="AC579" s="5">
        <v>43048</v>
      </c>
      <c r="AF579" s="1">
        <v>10011</v>
      </c>
      <c r="AJ579" s="1">
        <v>1910</v>
      </c>
      <c r="AK579" s="1" t="s">
        <v>360</v>
      </c>
      <c r="AL579" s="1">
        <v>9</v>
      </c>
    </row>
    <row r="580" spans="1:38" x14ac:dyDescent="0.2">
      <c r="A580" s="2" t="str">
        <f>HYPERLINK("https://www.compass.com/listing/30-park-place-unit-46d-manhattan-ny-10007/29357563065666689/","30 Park Pl, Unit 46D")</f>
        <v>30 Park Pl, Unit 46D</v>
      </c>
      <c r="B580" s="2" t="str">
        <f t="shared" ref="B580:B586" si="96">HYPERLINK("https://www.compass.com/building/30-park-pl-manhattan-ny-10007/281896912905317605/","30 Park Pl")</f>
        <v>30 Park Pl</v>
      </c>
      <c r="C580" s="1" t="s">
        <v>40</v>
      </c>
      <c r="D580" s="1" t="s">
        <v>41</v>
      </c>
      <c r="E580" s="3">
        <v>5753113</v>
      </c>
      <c r="F580" s="1">
        <v>2540.0057395143399</v>
      </c>
      <c r="G580" s="1">
        <v>5.5</v>
      </c>
      <c r="H580" s="1">
        <v>3</v>
      </c>
      <c r="I580" s="1">
        <v>3</v>
      </c>
      <c r="J580" s="1">
        <v>3</v>
      </c>
      <c r="K580" s="1">
        <v>3</v>
      </c>
      <c r="M580" s="4">
        <v>2265</v>
      </c>
      <c r="N580" s="1">
        <v>1793</v>
      </c>
      <c r="O580" s="1">
        <v>6364</v>
      </c>
      <c r="P580" s="1">
        <v>4571</v>
      </c>
      <c r="Q580" s="1" t="s">
        <v>42</v>
      </c>
      <c r="S580" s="1" t="s">
        <v>42</v>
      </c>
      <c r="T580" s="1" t="s">
        <v>203</v>
      </c>
      <c r="U580" s="1">
        <v>6</v>
      </c>
      <c r="V580" s="5">
        <v>43672</v>
      </c>
      <c r="W580" s="5">
        <v>41816</v>
      </c>
      <c r="X580" s="1">
        <v>5950000</v>
      </c>
      <c r="Y580" s="1">
        <v>5950000</v>
      </c>
      <c r="Z580" s="5">
        <v>41822</v>
      </c>
      <c r="AA580" s="1">
        <v>5753113</v>
      </c>
      <c r="AB580" s="1" t="s">
        <v>420</v>
      </c>
      <c r="AC580" s="5">
        <v>42703</v>
      </c>
      <c r="AF580" s="1">
        <v>10007</v>
      </c>
      <c r="AJ580" s="1">
        <v>2016</v>
      </c>
      <c r="AK580" s="1" t="s">
        <v>81</v>
      </c>
      <c r="AL580" s="1">
        <v>157</v>
      </c>
    </row>
    <row r="581" spans="1:38" x14ac:dyDescent="0.2">
      <c r="A581" s="2" t="str">
        <f>HYPERLINK("https://www.compass.com/listing/30-park-place-unit-64c-manhattan-ny-10007/29357586352541009/","30 Park Pl, Unit 64C")</f>
        <v>30 Park Pl, Unit 64C</v>
      </c>
      <c r="B581" s="2" t="str">
        <f t="shared" si="96"/>
        <v>30 Park Pl</v>
      </c>
      <c r="C581" s="1" t="s">
        <v>40</v>
      </c>
      <c r="D581" s="1" t="s">
        <v>41</v>
      </c>
      <c r="E581" s="3">
        <v>5294900</v>
      </c>
      <c r="F581" s="1">
        <v>2917.30027548209</v>
      </c>
      <c r="G581" s="1">
        <v>5</v>
      </c>
      <c r="H581" s="1">
        <v>3</v>
      </c>
      <c r="I581" s="1">
        <v>3</v>
      </c>
      <c r="J581" s="1">
        <v>3</v>
      </c>
      <c r="K581" s="1">
        <v>3</v>
      </c>
      <c r="M581" s="4">
        <v>1815</v>
      </c>
      <c r="N581" s="1">
        <v>1477</v>
      </c>
      <c r="O581" s="1">
        <v>5241</v>
      </c>
      <c r="P581" s="1">
        <v>3764</v>
      </c>
      <c r="Q581" s="1" t="s">
        <v>42</v>
      </c>
      <c r="S581" s="1" t="s">
        <v>42</v>
      </c>
      <c r="T581" s="1" t="s">
        <v>203</v>
      </c>
      <c r="U581" s="1">
        <v>1</v>
      </c>
      <c r="V581" s="5">
        <v>43663</v>
      </c>
      <c r="W581" s="5">
        <v>41815</v>
      </c>
      <c r="X581" s="1">
        <v>5350000</v>
      </c>
      <c r="Y581" s="1">
        <v>5200000</v>
      </c>
      <c r="Z581" s="5">
        <v>41816</v>
      </c>
      <c r="AA581" s="1">
        <v>5294900</v>
      </c>
      <c r="AB581" s="1" t="s">
        <v>421</v>
      </c>
      <c r="AC581" s="5">
        <v>42793</v>
      </c>
      <c r="AF581" s="1">
        <v>10007</v>
      </c>
      <c r="AJ581" s="1">
        <v>2016</v>
      </c>
      <c r="AK581" s="1" t="s">
        <v>81</v>
      </c>
      <c r="AL581" s="1">
        <v>157</v>
      </c>
    </row>
    <row r="582" spans="1:38" x14ac:dyDescent="0.2">
      <c r="A582" s="2" t="str">
        <f>HYPERLINK("https://www.compass.com/listing/30-park-place-unit-66c-manhattan-ny-10007/29357588458081649/","30 Park Pl, Unit 66C")</f>
        <v>30 Park Pl, Unit 66C</v>
      </c>
      <c r="B582" s="2" t="str">
        <f t="shared" si="96"/>
        <v>30 Park Pl</v>
      </c>
      <c r="C582" s="1" t="s">
        <v>40</v>
      </c>
      <c r="D582" s="1" t="s">
        <v>41</v>
      </c>
      <c r="E582" s="3">
        <v>5193075</v>
      </c>
      <c r="F582" s="1">
        <v>2861.19834710743</v>
      </c>
      <c r="G582" s="1">
        <v>5</v>
      </c>
      <c r="H582" s="1">
        <v>3</v>
      </c>
      <c r="I582" s="1">
        <v>3</v>
      </c>
      <c r="J582" s="1">
        <v>3</v>
      </c>
      <c r="K582" s="1">
        <v>3</v>
      </c>
      <c r="M582" s="4">
        <v>1815</v>
      </c>
      <c r="N582" s="1">
        <v>1482</v>
      </c>
      <c r="O582" s="1">
        <v>5259</v>
      </c>
      <c r="P582" s="1">
        <v>3777</v>
      </c>
      <c r="Q582" s="1" t="s">
        <v>42</v>
      </c>
      <c r="S582" s="1" t="s">
        <v>42</v>
      </c>
      <c r="T582" s="1" t="s">
        <v>203</v>
      </c>
      <c r="U582" s="1">
        <v>4</v>
      </c>
      <c r="V582" s="5">
        <v>43663</v>
      </c>
      <c r="W582" s="5">
        <v>41796</v>
      </c>
      <c r="X582" s="1">
        <v>5300000</v>
      </c>
      <c r="Y582" s="1">
        <v>5100000</v>
      </c>
      <c r="Z582" s="5">
        <v>41800</v>
      </c>
      <c r="AA582" s="1">
        <v>5193075</v>
      </c>
      <c r="AB582" s="1" t="s">
        <v>422</v>
      </c>
      <c r="AC582" s="5">
        <v>42817</v>
      </c>
      <c r="AF582" s="1">
        <v>10007</v>
      </c>
      <c r="AJ582" s="1">
        <v>2016</v>
      </c>
      <c r="AK582" s="1" t="s">
        <v>81</v>
      </c>
      <c r="AL582" s="1">
        <v>157</v>
      </c>
    </row>
    <row r="583" spans="1:38" x14ac:dyDescent="0.2">
      <c r="A583" s="2" t="str">
        <f>HYPERLINK("https://www.compass.com/listing/30-park-place-unit-67c-manhattan-ny-10007/29357589489880449/","30 Park Pl, Unit 67C")</f>
        <v>30 Park Pl, Unit 67C</v>
      </c>
      <c r="B583" s="2" t="str">
        <f t="shared" si="96"/>
        <v>30 Park Pl</v>
      </c>
      <c r="C583" s="1" t="s">
        <v>40</v>
      </c>
      <c r="D583" s="1" t="s">
        <v>41</v>
      </c>
      <c r="E583" s="3">
        <v>5600375</v>
      </c>
      <c r="F583" s="1">
        <v>3085.6060606060601</v>
      </c>
      <c r="G583" s="1">
        <v>5</v>
      </c>
      <c r="H583" s="1">
        <v>3</v>
      </c>
      <c r="I583" s="1">
        <v>3</v>
      </c>
      <c r="J583" s="1">
        <v>3</v>
      </c>
      <c r="K583" s="1">
        <v>3</v>
      </c>
      <c r="M583" s="4">
        <v>1815</v>
      </c>
      <c r="N583" s="1">
        <v>1484</v>
      </c>
      <c r="O583" s="1">
        <v>5267</v>
      </c>
      <c r="P583" s="1">
        <v>3783</v>
      </c>
      <c r="Q583" s="1" t="s">
        <v>42</v>
      </c>
      <c r="S583" s="1" t="s">
        <v>42</v>
      </c>
      <c r="T583" s="1" t="s">
        <v>203</v>
      </c>
      <c r="U583" s="1">
        <v>88</v>
      </c>
      <c r="V583" s="5">
        <v>42858</v>
      </c>
      <c r="W583" s="5">
        <v>41806</v>
      </c>
      <c r="X583" s="1">
        <v>5500000</v>
      </c>
      <c r="Y583" s="1">
        <v>5500000</v>
      </c>
      <c r="Z583" s="5">
        <v>41895</v>
      </c>
      <c r="AA583" s="1">
        <v>5600375</v>
      </c>
      <c r="AB583" s="1" t="s">
        <v>423</v>
      </c>
      <c r="AC583" s="5">
        <v>42829</v>
      </c>
      <c r="AF583" s="1">
        <v>10007</v>
      </c>
      <c r="AJ583" s="1">
        <v>2016</v>
      </c>
      <c r="AK583" s="1" t="s">
        <v>81</v>
      </c>
      <c r="AL583" s="1">
        <v>157</v>
      </c>
    </row>
    <row r="584" spans="1:38" x14ac:dyDescent="0.2">
      <c r="A584" s="2" t="str">
        <f>HYPERLINK("https://www.compass.com/listing/30-park-place-unit-39f-manhattan-ny-10007/29357553385311041/","30 Park Pl, Unit 39F")</f>
        <v>30 Park Pl, Unit 39F</v>
      </c>
      <c r="B584" s="2" t="str">
        <f t="shared" si="96"/>
        <v>30 Park Pl</v>
      </c>
      <c r="C584" s="1" t="s">
        <v>40</v>
      </c>
      <c r="D584" s="1" t="s">
        <v>41</v>
      </c>
      <c r="E584" s="3">
        <v>1250000</v>
      </c>
      <c r="F584" s="1">
        <v>2025.9319286871901</v>
      </c>
      <c r="G584" s="1">
        <v>3</v>
      </c>
      <c r="H584" s="1">
        <v>1</v>
      </c>
      <c r="I584" s="1">
        <v>1</v>
      </c>
      <c r="J584" s="1">
        <v>1</v>
      </c>
      <c r="K584" s="1">
        <v>1</v>
      </c>
      <c r="M584" s="1">
        <v>617</v>
      </c>
      <c r="N584" s="1">
        <v>485</v>
      </c>
      <c r="O584" s="1">
        <v>1721</v>
      </c>
      <c r="P584" s="1">
        <v>1236</v>
      </c>
      <c r="Q584" s="1" t="s">
        <v>42</v>
      </c>
      <c r="S584" s="1" t="s">
        <v>42</v>
      </c>
      <c r="T584" s="1" t="s">
        <v>203</v>
      </c>
      <c r="V584" s="5">
        <v>43663</v>
      </c>
      <c r="W584" s="5">
        <v>42705</v>
      </c>
      <c r="X584" s="1">
        <v>1250000</v>
      </c>
      <c r="Y584" s="1">
        <v>1250000</v>
      </c>
      <c r="Z584" s="5">
        <v>42705</v>
      </c>
      <c r="AA584" s="1">
        <v>1250000</v>
      </c>
      <c r="AB584" s="1" t="s">
        <v>424</v>
      </c>
      <c r="AC584" s="5">
        <v>42865</v>
      </c>
      <c r="AF584" s="1">
        <v>10007</v>
      </c>
      <c r="AJ584" s="1">
        <v>2016</v>
      </c>
      <c r="AK584" s="1" t="s">
        <v>81</v>
      </c>
      <c r="AL584" s="1">
        <v>157</v>
      </c>
    </row>
    <row r="585" spans="1:38" x14ac:dyDescent="0.2">
      <c r="A585" s="2" t="str">
        <f>HYPERLINK("https://www.compass.com/listing/30-park-place-unit-42d-manhattan-ny-10007/29357557780846721/","30 Park Pl, Unit 42D")</f>
        <v>30 Park Pl, Unit 42D</v>
      </c>
      <c r="B585" s="2" t="str">
        <f t="shared" si="96"/>
        <v>30 Park Pl</v>
      </c>
      <c r="C585" s="1" t="s">
        <v>40</v>
      </c>
      <c r="D585" s="1" t="s">
        <v>41</v>
      </c>
      <c r="E585" s="3">
        <v>5193075</v>
      </c>
      <c r="F585" s="1">
        <v>2292.7483443708602</v>
      </c>
      <c r="G585" s="1">
        <v>5.5</v>
      </c>
      <c r="H585" s="1">
        <v>3</v>
      </c>
      <c r="I585" s="1">
        <v>3</v>
      </c>
      <c r="J585" s="1">
        <v>3</v>
      </c>
      <c r="K585" s="1">
        <v>3</v>
      </c>
      <c r="M585" s="4">
        <v>2265</v>
      </c>
      <c r="N585" s="1">
        <v>1782</v>
      </c>
      <c r="O585" s="1">
        <v>6326</v>
      </c>
      <c r="P585" s="1">
        <v>4544</v>
      </c>
      <c r="Q585" s="1" t="s">
        <v>42</v>
      </c>
      <c r="S585" s="1" t="s">
        <v>42</v>
      </c>
      <c r="T585" s="1" t="s">
        <v>203</v>
      </c>
      <c r="U585" s="1">
        <v>24</v>
      </c>
      <c r="V585" s="5">
        <v>43665</v>
      </c>
      <c r="W585" s="5">
        <v>41853</v>
      </c>
      <c r="X585" s="1">
        <v>5750000</v>
      </c>
      <c r="Y585" s="1">
        <v>5100000</v>
      </c>
      <c r="Z585" s="5">
        <v>41877</v>
      </c>
      <c r="AA585" s="1">
        <v>5193075</v>
      </c>
      <c r="AB585" s="1" t="s">
        <v>425</v>
      </c>
      <c r="AC585" s="5">
        <v>42670</v>
      </c>
      <c r="AF585" s="1">
        <v>10007</v>
      </c>
      <c r="AJ585" s="1">
        <v>2016</v>
      </c>
      <c r="AK585" s="1" t="s">
        <v>81</v>
      </c>
      <c r="AL585" s="1">
        <v>157</v>
      </c>
    </row>
    <row r="586" spans="1:38" x14ac:dyDescent="0.2">
      <c r="A586" s="2" t="str">
        <f>HYPERLINK("https://www.compass.com/listing/30-park-place-unit-48d-manhattan-ny-10007/29357565699692801/","30 Park Pl, Unit 48D")</f>
        <v>30 Park Pl, Unit 48D</v>
      </c>
      <c r="B586" s="2" t="str">
        <f t="shared" si="96"/>
        <v>30 Park Pl</v>
      </c>
      <c r="C586" s="1" t="s">
        <v>40</v>
      </c>
      <c r="D586" s="1" t="s">
        <v>41</v>
      </c>
      <c r="E586" s="3">
        <v>5854938</v>
      </c>
      <c r="F586" s="1">
        <v>2584.9615894039698</v>
      </c>
      <c r="G586" s="1">
        <v>5.5</v>
      </c>
      <c r="H586" s="1">
        <v>3</v>
      </c>
      <c r="I586" s="1">
        <v>3</v>
      </c>
      <c r="J586" s="1">
        <v>3</v>
      </c>
      <c r="K586" s="1">
        <v>3</v>
      </c>
      <c r="M586" s="4">
        <v>2265</v>
      </c>
      <c r="N586" s="1">
        <v>1798</v>
      </c>
      <c r="O586" s="1">
        <v>6382</v>
      </c>
      <c r="P586" s="1">
        <v>4584</v>
      </c>
      <c r="Q586" s="1" t="s">
        <v>42</v>
      </c>
      <c r="S586" s="1" t="s">
        <v>42</v>
      </c>
      <c r="T586" s="1" t="s">
        <v>203</v>
      </c>
      <c r="U586" s="1">
        <v>7</v>
      </c>
      <c r="V586" s="5">
        <v>43672</v>
      </c>
      <c r="W586" s="5">
        <v>41815</v>
      </c>
      <c r="X586" s="1">
        <v>6050000</v>
      </c>
      <c r="Y586" s="1">
        <v>6050000</v>
      </c>
      <c r="Z586" s="5">
        <v>41822</v>
      </c>
      <c r="AA586" s="1">
        <v>5854938</v>
      </c>
      <c r="AB586" s="1" t="s">
        <v>426</v>
      </c>
      <c r="AC586" s="5">
        <v>42703</v>
      </c>
      <c r="AF586" s="1">
        <v>10007</v>
      </c>
      <c r="AJ586" s="1">
        <v>2016</v>
      </c>
      <c r="AK586" s="1" t="s">
        <v>81</v>
      </c>
      <c r="AL586" s="1">
        <v>157</v>
      </c>
    </row>
    <row r="587" spans="1:38" x14ac:dyDescent="0.2">
      <c r="A587" s="2" t="str">
        <f>HYPERLINK("https://www.compass.com/listing/360-central-park-west-unit-4a-manhattan-ny-10025/29399270620725137/","360 Central Park W, Unit 4A")</f>
        <v>360 Central Park W, Unit 4A</v>
      </c>
      <c r="B587" s="2" t="str">
        <f t="shared" ref="B587:B588" si="97">HYPERLINK("https://www.compass.com/building/360-central-park-west-manhattan-ny/281971555427243781/","360 Central Park West")</f>
        <v>360 Central Park West</v>
      </c>
      <c r="C587" s="1" t="s">
        <v>47</v>
      </c>
      <c r="D587" s="1" t="s">
        <v>41</v>
      </c>
      <c r="E587" s="3">
        <v>1751390</v>
      </c>
      <c r="F587" s="1">
        <v>2043.6289381563499</v>
      </c>
      <c r="G587" s="1">
        <v>3</v>
      </c>
      <c r="H587" s="1">
        <v>1</v>
      </c>
      <c r="I587" s="1">
        <v>1</v>
      </c>
      <c r="J587" s="1">
        <v>1</v>
      </c>
      <c r="K587" s="1">
        <v>1</v>
      </c>
      <c r="M587" s="1">
        <v>857</v>
      </c>
      <c r="N587" s="1">
        <v>973</v>
      </c>
      <c r="O587" s="1">
        <v>1602</v>
      </c>
      <c r="P587" s="1">
        <v>629</v>
      </c>
      <c r="Q587" s="1" t="s">
        <v>42</v>
      </c>
      <c r="S587" s="1" t="s">
        <v>42</v>
      </c>
      <c r="T587" s="1" t="s">
        <v>203</v>
      </c>
      <c r="U587" s="1">
        <v>46</v>
      </c>
      <c r="V587" s="5">
        <v>43678</v>
      </c>
      <c r="W587" s="5">
        <v>42182</v>
      </c>
      <c r="X587" s="1">
        <v>1625000</v>
      </c>
      <c r="Y587" s="1">
        <v>1725000</v>
      </c>
      <c r="Z587" s="5">
        <v>42228</v>
      </c>
      <c r="AA587" s="1">
        <v>1751390</v>
      </c>
      <c r="AB587" s="1" t="s">
        <v>427</v>
      </c>
      <c r="AC587" s="5">
        <v>43230</v>
      </c>
      <c r="AF587" s="1">
        <v>10025</v>
      </c>
      <c r="AI587" s="1" t="s">
        <v>348</v>
      </c>
      <c r="AJ587" s="1">
        <v>1929</v>
      </c>
      <c r="AK587" s="1" t="s">
        <v>428</v>
      </c>
      <c r="AL587" s="1">
        <v>126</v>
      </c>
    </row>
    <row r="588" spans="1:38" x14ac:dyDescent="0.2">
      <c r="A588" s="2" t="str">
        <f>HYPERLINK("https://www.compass.com/listing/360-central-park-west-unit-4a-manhattan-ny-10025/803395918694844817/","360 Central Park W, Unit 4A")</f>
        <v>360 Central Park W, Unit 4A</v>
      </c>
      <c r="B588" s="2" t="str">
        <f t="shared" si="97"/>
        <v>360 Central Park West</v>
      </c>
      <c r="C588" s="1" t="s">
        <v>47</v>
      </c>
      <c r="D588" s="1" t="s">
        <v>41</v>
      </c>
      <c r="E588" s="3">
        <v>1751390</v>
      </c>
      <c r="F588" s="1">
        <v>2043.6289381563499</v>
      </c>
      <c r="G588" s="1">
        <v>3</v>
      </c>
      <c r="H588" s="1">
        <v>1</v>
      </c>
      <c r="I588" s="1">
        <v>1</v>
      </c>
      <c r="J588" s="1">
        <v>1</v>
      </c>
      <c r="M588" s="1">
        <v>857</v>
      </c>
      <c r="N588" s="1">
        <v>973</v>
      </c>
      <c r="O588" s="1">
        <v>1602</v>
      </c>
      <c r="P588" s="1">
        <v>629</v>
      </c>
      <c r="Q588" s="1" t="s">
        <v>42</v>
      </c>
      <c r="S588" s="1" t="s">
        <v>42</v>
      </c>
      <c r="T588" s="1" t="s">
        <v>203</v>
      </c>
      <c r="U588" s="1">
        <v>45</v>
      </c>
      <c r="V588" s="5">
        <v>43173</v>
      </c>
      <c r="W588" s="5">
        <v>42181</v>
      </c>
      <c r="X588" s="1">
        <v>1625000</v>
      </c>
      <c r="Y588" s="1">
        <v>1725000</v>
      </c>
      <c r="Z588" s="5">
        <v>42228</v>
      </c>
      <c r="AA588" s="1">
        <v>1751390</v>
      </c>
      <c r="AB588" s="1" t="s">
        <v>427</v>
      </c>
      <c r="AC588" s="5">
        <v>43230</v>
      </c>
      <c r="AF588" s="1">
        <v>10025</v>
      </c>
      <c r="AI588" s="1" t="s">
        <v>348</v>
      </c>
      <c r="AJ588" s="1">
        <v>1929</v>
      </c>
      <c r="AK588" s="1" t="s">
        <v>428</v>
      </c>
      <c r="AL588" s="1">
        <v>126</v>
      </c>
    </row>
    <row r="589" spans="1:38" x14ac:dyDescent="0.2">
      <c r="A589" s="2" t="str">
        <f>HYPERLINK("https://www.compass.com/listing/30-park-place-unit-56a-manhattan-ny-10007/29512131900713665/","30 Park Pl, Unit 56A")</f>
        <v>30 Park Pl, Unit 56A</v>
      </c>
      <c r="B589" s="2" t="str">
        <f t="shared" ref="B589:B594" si="98">HYPERLINK("https://www.compass.com/building/30-park-pl-manhattan-ny-10007/281896912905317605/","30 Park Pl")</f>
        <v>30 Park Pl</v>
      </c>
      <c r="C589" s="1" t="s">
        <v>40</v>
      </c>
      <c r="D589" s="1" t="s">
        <v>41</v>
      </c>
      <c r="E589" s="3">
        <v>6650000</v>
      </c>
      <c r="F589" s="1">
        <v>2365.7061543934501</v>
      </c>
      <c r="G589" s="1">
        <v>6.5</v>
      </c>
      <c r="H589" s="1">
        <v>4</v>
      </c>
      <c r="I589" s="1">
        <v>5</v>
      </c>
      <c r="J589" s="1">
        <v>4.5</v>
      </c>
      <c r="K589" s="1">
        <v>4</v>
      </c>
      <c r="L589" s="1">
        <v>1</v>
      </c>
      <c r="M589" s="4">
        <v>2811</v>
      </c>
      <c r="N589" s="1">
        <v>2527</v>
      </c>
      <c r="O589" s="1">
        <v>8812</v>
      </c>
      <c r="P589" s="1">
        <v>6285</v>
      </c>
      <c r="Q589" s="1" t="s">
        <v>42</v>
      </c>
      <c r="S589" s="1" t="s">
        <v>42</v>
      </c>
      <c r="T589" s="1" t="s">
        <v>203</v>
      </c>
      <c r="U589" s="1">
        <v>1001</v>
      </c>
      <c r="V589" s="5">
        <v>44084</v>
      </c>
      <c r="W589" s="5">
        <v>42909</v>
      </c>
      <c r="X589" s="1">
        <v>8875000</v>
      </c>
      <c r="Y589" s="1">
        <v>7950000</v>
      </c>
      <c r="Z589" s="5">
        <v>43957</v>
      </c>
      <c r="AA589" s="1">
        <v>6650000</v>
      </c>
      <c r="AB589" s="1" t="s">
        <v>429</v>
      </c>
      <c r="AC589" s="5">
        <v>44075</v>
      </c>
      <c r="AF589" s="1">
        <v>10007</v>
      </c>
      <c r="AI589" s="1" t="s">
        <v>403</v>
      </c>
      <c r="AJ589" s="1">
        <v>2016</v>
      </c>
      <c r="AK589" s="1" t="s">
        <v>81</v>
      </c>
      <c r="AL589" s="1">
        <v>157</v>
      </c>
    </row>
    <row r="590" spans="1:38" x14ac:dyDescent="0.2">
      <c r="A590" s="2" t="str">
        <f>HYPERLINK("https://www.compass.com/listing/30-park-place-unit-56d-manhattan-ny-10007/29357576529480897/","30 Park Pl, Unit 56D")</f>
        <v>30 Park Pl, Unit 56D</v>
      </c>
      <c r="B590" s="2" t="str">
        <f t="shared" si="98"/>
        <v>30 Park Pl</v>
      </c>
      <c r="C590" s="1" t="s">
        <v>40</v>
      </c>
      <c r="D590" s="1" t="s">
        <v>41</v>
      </c>
      <c r="E590" s="3">
        <v>4490483</v>
      </c>
      <c r="F590" s="1">
        <v>2919.6898569570799</v>
      </c>
      <c r="G590" s="1">
        <v>4</v>
      </c>
      <c r="H590" s="1">
        <v>2</v>
      </c>
      <c r="I590" s="1">
        <v>2</v>
      </c>
      <c r="J590" s="1">
        <v>2</v>
      </c>
      <c r="K590" s="1">
        <v>2</v>
      </c>
      <c r="M590" s="4">
        <v>1538</v>
      </c>
      <c r="N590" s="1">
        <v>1258</v>
      </c>
      <c r="O590" s="1">
        <v>4464</v>
      </c>
      <c r="P590" s="1">
        <v>3206</v>
      </c>
      <c r="Q590" s="1" t="s">
        <v>42</v>
      </c>
      <c r="S590" s="1" t="s">
        <v>42</v>
      </c>
      <c r="T590" s="1" t="s">
        <v>203</v>
      </c>
      <c r="U590" s="1">
        <v>20</v>
      </c>
      <c r="V590" s="5">
        <v>43673</v>
      </c>
      <c r="W590" s="5">
        <v>41857</v>
      </c>
      <c r="X590" s="1">
        <v>4585000</v>
      </c>
      <c r="Y590" s="1">
        <v>4410000</v>
      </c>
      <c r="Z590" s="5">
        <v>41877</v>
      </c>
      <c r="AA590" s="1">
        <v>4490483</v>
      </c>
      <c r="AB590" s="1" t="s">
        <v>430</v>
      </c>
      <c r="AC590" s="5">
        <v>42721</v>
      </c>
      <c r="AF590" s="1">
        <v>10007</v>
      </c>
      <c r="AJ590" s="1">
        <v>2016</v>
      </c>
      <c r="AK590" s="1" t="s">
        <v>81</v>
      </c>
      <c r="AL590" s="1">
        <v>157</v>
      </c>
    </row>
    <row r="591" spans="1:38" x14ac:dyDescent="0.2">
      <c r="A591" s="2" t="str">
        <f>HYPERLINK("https://www.compass.com/listing/30-park-place-unit-61c-manhattan-ny-10007/29357583257144609/","30 Park Pl, Unit 61C")</f>
        <v>30 Park Pl, Unit 61C</v>
      </c>
      <c r="B591" s="2" t="str">
        <f t="shared" si="98"/>
        <v>30 Park Pl</v>
      </c>
      <c r="C591" s="1" t="s">
        <v>40</v>
      </c>
      <c r="D591" s="1" t="s">
        <v>41</v>
      </c>
      <c r="E591" s="3">
        <v>4566851</v>
      </c>
      <c r="F591" s="1">
        <v>2959.7219701879399</v>
      </c>
      <c r="G591" s="1">
        <v>4</v>
      </c>
      <c r="H591" s="1">
        <v>2</v>
      </c>
      <c r="I591" s="1">
        <v>2</v>
      </c>
      <c r="J591" s="1">
        <v>2</v>
      </c>
      <c r="K591" s="1">
        <v>2</v>
      </c>
      <c r="M591" s="4">
        <v>1543</v>
      </c>
      <c r="N591" s="1">
        <v>1245</v>
      </c>
      <c r="O591" s="1">
        <v>4419</v>
      </c>
      <c r="P591" s="1">
        <v>3174</v>
      </c>
      <c r="Q591" s="1" t="s">
        <v>42</v>
      </c>
      <c r="S591" s="1" t="s">
        <v>42</v>
      </c>
      <c r="T591" s="1" t="s">
        <v>203</v>
      </c>
      <c r="U591" s="1">
        <v>10</v>
      </c>
      <c r="V591" s="5">
        <v>43668</v>
      </c>
      <c r="W591" s="5">
        <v>41914</v>
      </c>
      <c r="X591" s="1">
        <v>5035000</v>
      </c>
      <c r="Y591" s="1">
        <v>4485000</v>
      </c>
      <c r="Z591" s="5">
        <v>41924</v>
      </c>
      <c r="AA591" s="1">
        <v>4566851</v>
      </c>
      <c r="AB591" s="1" t="s">
        <v>431</v>
      </c>
      <c r="AC591" s="5">
        <v>42759</v>
      </c>
      <c r="AF591" s="1">
        <v>10007</v>
      </c>
      <c r="AJ591" s="1">
        <v>2016</v>
      </c>
      <c r="AK591" s="1" t="s">
        <v>81</v>
      </c>
      <c r="AL591" s="1">
        <v>157</v>
      </c>
    </row>
    <row r="592" spans="1:38" x14ac:dyDescent="0.2">
      <c r="A592" s="2" t="str">
        <f>HYPERLINK("https://www.compass.com/listing/30-park-place-unit-58d-manhattan-ny-10007/29512133242815441/","30 Park Pl, Unit 58D")</f>
        <v>30 Park Pl, Unit 58D</v>
      </c>
      <c r="B592" s="2" t="str">
        <f t="shared" si="98"/>
        <v>30 Park Pl</v>
      </c>
      <c r="C592" s="1" t="s">
        <v>40</v>
      </c>
      <c r="D592" s="1" t="s">
        <v>41</v>
      </c>
      <c r="E592" s="3">
        <v>4648311</v>
      </c>
      <c r="F592" s="1">
        <v>3022.3088426527902</v>
      </c>
      <c r="G592" s="1">
        <v>4</v>
      </c>
      <c r="H592" s="1">
        <v>2</v>
      </c>
      <c r="I592" s="1">
        <v>2</v>
      </c>
      <c r="J592" s="1">
        <v>2</v>
      </c>
      <c r="K592" s="1">
        <v>2</v>
      </c>
      <c r="M592" s="4">
        <v>1538</v>
      </c>
      <c r="N592" s="1">
        <v>1262</v>
      </c>
      <c r="O592" s="1">
        <v>4479</v>
      </c>
      <c r="P592" s="1">
        <v>3217</v>
      </c>
      <c r="Q592" s="1" t="s">
        <v>42</v>
      </c>
      <c r="S592" s="1" t="s">
        <v>42</v>
      </c>
      <c r="T592" s="1" t="s">
        <v>203</v>
      </c>
      <c r="U592" s="1">
        <v>13</v>
      </c>
      <c r="V592" s="5">
        <v>43637</v>
      </c>
      <c r="W592" s="5">
        <v>41838</v>
      </c>
      <c r="X592" s="1">
        <v>4665000</v>
      </c>
      <c r="Y592" s="1">
        <v>4565000</v>
      </c>
      <c r="Z592" s="5">
        <v>41851</v>
      </c>
      <c r="AA592" s="1">
        <v>4648311</v>
      </c>
      <c r="AB592" s="1" t="s">
        <v>432</v>
      </c>
      <c r="AC592" s="5">
        <v>42753</v>
      </c>
      <c r="AF592" s="1">
        <v>10007</v>
      </c>
      <c r="AJ592" s="1">
        <v>2016</v>
      </c>
      <c r="AK592" s="1" t="s">
        <v>81</v>
      </c>
      <c r="AL592" s="1">
        <v>157</v>
      </c>
    </row>
    <row r="593" spans="1:38" x14ac:dyDescent="0.2">
      <c r="A593" s="2" t="str">
        <f>HYPERLINK("https://www.compass.com/listing/30-park-place-unit-52c-manhattan-ny-10007/29357570699303249/","30 Park Pl, Unit 52C")</f>
        <v>30 Park Pl, Unit 52C</v>
      </c>
      <c r="B593" s="2" t="str">
        <f t="shared" si="98"/>
        <v>30 Park Pl</v>
      </c>
      <c r="C593" s="1" t="s">
        <v>40</v>
      </c>
      <c r="D593" s="1" t="s">
        <v>41</v>
      </c>
      <c r="E593" s="3">
        <v>3767525</v>
      </c>
      <c r="F593" s="1">
        <v>2441.68826960466</v>
      </c>
      <c r="G593" s="1">
        <v>4</v>
      </c>
      <c r="H593" s="1">
        <v>2</v>
      </c>
      <c r="I593" s="1">
        <v>2</v>
      </c>
      <c r="J593" s="1">
        <v>2</v>
      </c>
      <c r="K593" s="1">
        <v>2</v>
      </c>
      <c r="M593" s="4">
        <v>1543</v>
      </c>
      <c r="N593" s="1">
        <v>1226</v>
      </c>
      <c r="O593" s="1">
        <v>4352</v>
      </c>
      <c r="P593" s="1">
        <v>3126</v>
      </c>
      <c r="Q593" s="1" t="s">
        <v>42</v>
      </c>
      <c r="S593" s="1" t="s">
        <v>42</v>
      </c>
      <c r="T593" s="1" t="s">
        <v>203</v>
      </c>
      <c r="U593" s="1">
        <v>20</v>
      </c>
      <c r="V593" s="5">
        <v>43672</v>
      </c>
      <c r="W593" s="5">
        <v>41857</v>
      </c>
      <c r="X593" s="1">
        <v>4275000</v>
      </c>
      <c r="Y593" s="1">
        <v>3700000</v>
      </c>
      <c r="Z593" s="5">
        <v>41877</v>
      </c>
      <c r="AA593" s="1">
        <v>3767525</v>
      </c>
      <c r="AB593" s="1" t="s">
        <v>433</v>
      </c>
      <c r="AC593" s="5">
        <v>42703</v>
      </c>
      <c r="AF593" s="1">
        <v>10007</v>
      </c>
      <c r="AJ593" s="1">
        <v>2016</v>
      </c>
      <c r="AK593" s="1" t="s">
        <v>81</v>
      </c>
      <c r="AL593" s="1">
        <v>157</v>
      </c>
    </row>
    <row r="594" spans="1:38" x14ac:dyDescent="0.2">
      <c r="A594" s="2" t="str">
        <f>HYPERLINK("https://www.compass.com/listing/30-park-place-unit-65a-manhattan-ny-10007/297656110013774145/","30 Park Pl, Unit 65A")</f>
        <v>30 Park Pl, Unit 65A</v>
      </c>
      <c r="B594" s="2" t="str">
        <f t="shared" si="98"/>
        <v>30 Park Pl</v>
      </c>
      <c r="C594" s="1" t="s">
        <v>40</v>
      </c>
      <c r="D594" s="1" t="s">
        <v>41</v>
      </c>
      <c r="E594" s="3">
        <v>9300000</v>
      </c>
      <c r="F594" s="1">
        <v>2513.5135135135101</v>
      </c>
      <c r="G594" s="1">
        <v>7</v>
      </c>
      <c r="H594" s="1">
        <v>4</v>
      </c>
      <c r="I594" s="1">
        <v>5</v>
      </c>
      <c r="J594" s="1">
        <v>5</v>
      </c>
      <c r="K594" s="1">
        <v>5</v>
      </c>
      <c r="M594" s="4">
        <v>3700</v>
      </c>
      <c r="N594" s="1">
        <v>3170</v>
      </c>
      <c r="O594" s="1">
        <v>11765</v>
      </c>
      <c r="P594" s="1">
        <v>8595</v>
      </c>
      <c r="Q594" s="1" t="s">
        <v>42</v>
      </c>
      <c r="S594" s="1" t="s">
        <v>42</v>
      </c>
      <c r="T594" s="1" t="s">
        <v>203</v>
      </c>
      <c r="U594" s="1">
        <v>934</v>
      </c>
      <c r="V594" s="5">
        <v>44338</v>
      </c>
      <c r="W594" s="5">
        <v>42985</v>
      </c>
      <c r="X594" s="1">
        <v>13000000</v>
      </c>
      <c r="Y594" s="1">
        <v>11100000</v>
      </c>
      <c r="AA594" s="1">
        <v>9300000</v>
      </c>
      <c r="AB594" s="1" t="s">
        <v>397</v>
      </c>
      <c r="AC594" s="5">
        <v>44055</v>
      </c>
      <c r="AF594" s="1">
        <v>10007</v>
      </c>
      <c r="AJ594" s="1">
        <v>2016</v>
      </c>
      <c r="AK594" s="1" t="s">
        <v>50</v>
      </c>
      <c r="AL594" s="1">
        <v>157</v>
      </c>
    </row>
    <row r="595" spans="1:38" x14ac:dyDescent="0.2">
      <c r="A595" s="2" t="str">
        <f>HYPERLINK("https://www.compass.com/listing/189-avenue-c-unit-4d-manhattan-ny-10009/29361146544895473/","189 Avenue C, Unit 4D")</f>
        <v>189 Avenue C, Unit 4D</v>
      </c>
      <c r="B595" s="2" t="str">
        <f t="shared" ref="B595:B597" si="99">HYPERLINK("https://www.compass.com/building/the-calyx-manhattan-ny/426959097439640773/","The Calyx")</f>
        <v>The Calyx</v>
      </c>
      <c r="C595" s="1" t="s">
        <v>88</v>
      </c>
      <c r="D595" s="1" t="s">
        <v>41</v>
      </c>
      <c r="E595" s="3">
        <v>750959</v>
      </c>
      <c r="F595" s="1">
        <v>999.94540612516596</v>
      </c>
      <c r="G595" s="1">
        <v>2</v>
      </c>
      <c r="H595" s="1" t="s">
        <v>77</v>
      </c>
      <c r="I595" s="1">
        <v>1</v>
      </c>
      <c r="J595" s="1">
        <v>1</v>
      </c>
      <c r="K595" s="1">
        <v>1</v>
      </c>
      <c r="M595" s="1">
        <v>751</v>
      </c>
      <c r="N595" s="1">
        <v>614.41999999999996</v>
      </c>
      <c r="O595" s="1">
        <v>1062.44999999999</v>
      </c>
      <c r="P595" s="1">
        <v>448</v>
      </c>
      <c r="Q595" s="1" t="s">
        <v>335</v>
      </c>
      <c r="S595" s="1" t="s">
        <v>336</v>
      </c>
      <c r="T595" s="1" t="s">
        <v>203</v>
      </c>
      <c r="U595" s="1">
        <v>27</v>
      </c>
      <c r="V595" s="5">
        <v>43635</v>
      </c>
      <c r="W595" s="5">
        <v>42497</v>
      </c>
      <c r="X595" s="1">
        <v>750000</v>
      </c>
      <c r="Y595" s="1">
        <v>750000</v>
      </c>
      <c r="Z595" s="5">
        <v>42524</v>
      </c>
      <c r="AA595" s="1">
        <v>750959</v>
      </c>
      <c r="AB595" s="1" t="s">
        <v>319</v>
      </c>
      <c r="AC595" s="5">
        <v>42566</v>
      </c>
      <c r="AF595" s="1">
        <v>10009</v>
      </c>
      <c r="AI595" s="1" t="s">
        <v>73</v>
      </c>
      <c r="AJ595" s="1">
        <v>2011</v>
      </c>
      <c r="AK595" s="1" t="s">
        <v>341</v>
      </c>
      <c r="AL595" s="1">
        <v>35</v>
      </c>
    </row>
    <row r="596" spans="1:38" x14ac:dyDescent="0.2">
      <c r="A596" s="2" t="str">
        <f>HYPERLINK("https://www.compass.com/listing/189-avenue-c-unit-5d-manhattan-ny-10009/50864462072241473/","189 Avenue C, Unit 5D")</f>
        <v>189 Avenue C, Unit 5D</v>
      </c>
      <c r="B596" s="2" t="str">
        <f t="shared" si="99"/>
        <v>The Calyx</v>
      </c>
      <c r="C596" s="1" t="s">
        <v>88</v>
      </c>
      <c r="D596" s="1" t="s">
        <v>41</v>
      </c>
      <c r="E596" s="3">
        <v>809508</v>
      </c>
      <c r="F596" s="1">
        <v>1077.9067909454</v>
      </c>
      <c r="G596" s="1">
        <v>2</v>
      </c>
      <c r="H596" s="1" t="s">
        <v>77</v>
      </c>
      <c r="I596" s="1">
        <v>1</v>
      </c>
      <c r="J596" s="1">
        <v>1</v>
      </c>
      <c r="K596" s="1">
        <v>1</v>
      </c>
      <c r="M596" s="1">
        <v>751</v>
      </c>
      <c r="N596" s="1">
        <v>614.41999999999996</v>
      </c>
      <c r="O596" s="1">
        <v>1062.44999999999</v>
      </c>
      <c r="P596" s="1">
        <v>448</v>
      </c>
      <c r="Q596" s="1" t="s">
        <v>335</v>
      </c>
      <c r="S596" s="1" t="s">
        <v>336</v>
      </c>
      <c r="T596" s="1" t="s">
        <v>203</v>
      </c>
      <c r="U596" s="1">
        <v>37</v>
      </c>
      <c r="V596" s="5">
        <v>43678</v>
      </c>
      <c r="W596" s="5">
        <v>42404</v>
      </c>
      <c r="X596" s="1">
        <v>750000</v>
      </c>
      <c r="Y596" s="1">
        <v>750000</v>
      </c>
      <c r="Z596" s="5">
        <v>42441</v>
      </c>
      <c r="AA596" s="1">
        <v>809508</v>
      </c>
      <c r="AB596" s="1" t="s">
        <v>434</v>
      </c>
      <c r="AC596" s="5">
        <v>42578</v>
      </c>
      <c r="AF596" s="1">
        <v>10009</v>
      </c>
      <c r="AI596" s="1" t="s">
        <v>73</v>
      </c>
      <c r="AJ596" s="1">
        <v>2011</v>
      </c>
      <c r="AK596" s="1" t="s">
        <v>140</v>
      </c>
      <c r="AL596" s="1">
        <v>35</v>
      </c>
    </row>
    <row r="597" spans="1:38" x14ac:dyDescent="0.2">
      <c r="A597" s="2" t="str">
        <f>HYPERLINK("https://www.compass.com/listing/189-avenue-c-unit-8d-manhattan-ny-10009/70919539784710881/","189 Avenue C, Unit 8D")</f>
        <v>189 Avenue C, Unit 8D</v>
      </c>
      <c r="B597" s="2" t="str">
        <f t="shared" si="99"/>
        <v>The Calyx</v>
      </c>
      <c r="C597" s="1" t="s">
        <v>88</v>
      </c>
      <c r="D597" s="1" t="s">
        <v>41</v>
      </c>
      <c r="E597" s="3">
        <v>805000</v>
      </c>
      <c r="F597" s="1">
        <v>1071.9041278295599</v>
      </c>
      <c r="G597" s="1">
        <v>2</v>
      </c>
      <c r="H597" s="1" t="s">
        <v>77</v>
      </c>
      <c r="I597" s="1">
        <v>1</v>
      </c>
      <c r="J597" s="1">
        <v>1</v>
      </c>
      <c r="K597" s="1">
        <v>1</v>
      </c>
      <c r="M597" s="1">
        <v>751</v>
      </c>
      <c r="N597" s="1">
        <v>614.41999999999996</v>
      </c>
      <c r="O597" s="1">
        <v>1062.44999999999</v>
      </c>
      <c r="P597" s="1">
        <v>448</v>
      </c>
      <c r="Q597" s="1" t="s">
        <v>335</v>
      </c>
      <c r="S597" s="1" t="s">
        <v>336</v>
      </c>
      <c r="T597" s="1" t="s">
        <v>203</v>
      </c>
      <c r="U597" s="1">
        <v>103</v>
      </c>
      <c r="V597" s="5">
        <v>43675</v>
      </c>
      <c r="W597" s="5">
        <v>42433</v>
      </c>
      <c r="X597" s="1">
        <v>825000</v>
      </c>
      <c r="Y597" s="1">
        <v>825000</v>
      </c>
      <c r="Z597" s="5">
        <v>42536</v>
      </c>
      <c r="AA597" s="1">
        <v>805000</v>
      </c>
      <c r="AB597" s="1" t="s">
        <v>435</v>
      </c>
      <c r="AC597" s="5">
        <v>42600</v>
      </c>
      <c r="AF597" s="1">
        <v>10009</v>
      </c>
      <c r="AI597" s="1" t="s">
        <v>73</v>
      </c>
      <c r="AJ597" s="1">
        <v>2011</v>
      </c>
      <c r="AK597" s="1" t="s">
        <v>140</v>
      </c>
      <c r="AL597" s="1">
        <v>35</v>
      </c>
    </row>
    <row r="598" spans="1:38" x14ac:dyDescent="0.2">
      <c r="A598" s="2" t="str">
        <f>HYPERLINK("https://www.compass.com/listing/30-park-place-unit-48a-manhattan-ny-10007/18882275278181649/","30 Park Pl, Unit 48A")</f>
        <v>30 Park Pl, Unit 48A</v>
      </c>
      <c r="B598" s="2" t="str">
        <f t="shared" ref="B598:B605" si="100">HYPERLINK("https://www.compass.com/building/30-park-pl-manhattan-ny-10007/281896912905317605/","30 Park Pl")</f>
        <v>30 Park Pl</v>
      </c>
      <c r="C598" s="1" t="s">
        <v>40</v>
      </c>
      <c r="D598" s="1" t="s">
        <v>41</v>
      </c>
      <c r="E598" s="3">
        <v>6150000</v>
      </c>
      <c r="F598" s="1">
        <v>2771.51870211807</v>
      </c>
      <c r="G598" s="1">
        <v>5.5</v>
      </c>
      <c r="H598" s="1">
        <v>3</v>
      </c>
      <c r="I598" s="1">
        <v>4</v>
      </c>
      <c r="J598" s="1">
        <v>3.5</v>
      </c>
      <c r="K598" s="1">
        <v>3</v>
      </c>
      <c r="L598" s="1">
        <v>1</v>
      </c>
      <c r="M598" s="4">
        <v>2219</v>
      </c>
      <c r="N598" s="1">
        <v>1904</v>
      </c>
      <c r="O598" s="1">
        <v>6781</v>
      </c>
      <c r="P598" s="1">
        <v>4877</v>
      </c>
      <c r="Q598" s="1" t="s">
        <v>42</v>
      </c>
      <c r="S598" s="1" t="s">
        <v>42</v>
      </c>
      <c r="T598" s="1" t="s">
        <v>203</v>
      </c>
      <c r="U598" s="1">
        <v>237</v>
      </c>
      <c r="V598" s="5">
        <v>43694</v>
      </c>
      <c r="W598" s="5">
        <v>42643</v>
      </c>
      <c r="X598" s="1">
        <v>7250000</v>
      </c>
      <c r="Y598" s="1">
        <v>7250000</v>
      </c>
      <c r="Z598" s="5">
        <v>43617</v>
      </c>
      <c r="AA598" s="1">
        <v>6150000</v>
      </c>
      <c r="AB598" s="1" t="s">
        <v>436</v>
      </c>
      <c r="AC598" s="5">
        <v>43642</v>
      </c>
      <c r="AF598" s="1">
        <v>10007</v>
      </c>
      <c r="AJ598" s="1">
        <v>2016</v>
      </c>
      <c r="AK598" s="1" t="s">
        <v>81</v>
      </c>
      <c r="AL598" s="1">
        <v>157</v>
      </c>
    </row>
    <row r="599" spans="1:38" x14ac:dyDescent="0.2">
      <c r="A599" s="2" t="str">
        <f>HYPERLINK("https://www.compass.com/listing/30-park-place-unit-54a-manhattan-ny-10007/29357572494465393/","30 Park Pl, Unit 54A")</f>
        <v>30 Park Pl, Unit 54A</v>
      </c>
      <c r="B599" s="2" t="str">
        <f t="shared" si="100"/>
        <v>30 Park Pl</v>
      </c>
      <c r="C599" s="1" t="s">
        <v>40</v>
      </c>
      <c r="D599" s="1" t="s">
        <v>41</v>
      </c>
      <c r="E599" s="3">
        <v>8425000</v>
      </c>
      <c r="F599" s="1">
        <v>2997.154037709</v>
      </c>
      <c r="G599" s="1">
        <v>7</v>
      </c>
      <c r="H599" s="1">
        <v>4</v>
      </c>
      <c r="I599" s="1">
        <v>4</v>
      </c>
      <c r="J599" s="1">
        <v>4.5</v>
      </c>
      <c r="K599" s="1">
        <v>4</v>
      </c>
      <c r="L599" s="1">
        <v>1</v>
      </c>
      <c r="M599" s="4">
        <v>2811</v>
      </c>
      <c r="N599" s="1">
        <v>2332</v>
      </c>
      <c r="O599" s="1">
        <v>8275</v>
      </c>
      <c r="P599" s="1">
        <v>5943</v>
      </c>
      <c r="Q599" s="1" t="s">
        <v>42</v>
      </c>
      <c r="S599" s="1" t="s">
        <v>42</v>
      </c>
      <c r="T599" s="1" t="s">
        <v>203</v>
      </c>
      <c r="U599" s="1">
        <v>203</v>
      </c>
      <c r="V599" s="5">
        <v>43662</v>
      </c>
      <c r="W599" s="5">
        <v>42697</v>
      </c>
      <c r="X599" s="1">
        <v>9100000</v>
      </c>
      <c r="Y599" s="1">
        <v>8425000</v>
      </c>
      <c r="Z599" s="5">
        <v>42900</v>
      </c>
      <c r="AA599" s="1">
        <v>8425000</v>
      </c>
      <c r="AB599" s="1" t="s">
        <v>437</v>
      </c>
      <c r="AC599" s="5">
        <v>42930</v>
      </c>
      <c r="AF599" s="1">
        <v>10007</v>
      </c>
      <c r="AJ599" s="1">
        <v>2016</v>
      </c>
      <c r="AK599" s="1" t="s">
        <v>81</v>
      </c>
      <c r="AL599" s="1">
        <v>157</v>
      </c>
    </row>
    <row r="600" spans="1:38" x14ac:dyDescent="0.2">
      <c r="A600" s="2" t="str">
        <f>HYPERLINK("https://www.compass.com/listing/30-park-place-unit-56b-manhattan-ny-10007/29357575858297265/","30 Park Pl, Unit 56B")</f>
        <v>30 Park Pl, Unit 56B</v>
      </c>
      <c r="B600" s="2" t="str">
        <f t="shared" si="100"/>
        <v>30 Park Pl</v>
      </c>
      <c r="C600" s="1" t="s">
        <v>40</v>
      </c>
      <c r="D600" s="1" t="s">
        <v>41</v>
      </c>
      <c r="E600" s="3">
        <v>6100000</v>
      </c>
      <c r="F600" s="1">
        <v>2756.4392227745102</v>
      </c>
      <c r="G600" s="1">
        <v>6</v>
      </c>
      <c r="H600" s="1">
        <v>3</v>
      </c>
      <c r="I600" s="1">
        <v>3</v>
      </c>
      <c r="J600" s="1">
        <v>3.5</v>
      </c>
      <c r="K600" s="1">
        <v>3</v>
      </c>
      <c r="L600" s="1">
        <v>1</v>
      </c>
      <c r="M600" s="4">
        <v>2213</v>
      </c>
      <c r="N600" s="1">
        <v>1803</v>
      </c>
      <c r="O600" s="1">
        <v>6399</v>
      </c>
      <c r="P600" s="1">
        <v>4596</v>
      </c>
      <c r="Q600" s="1" t="s">
        <v>42</v>
      </c>
      <c r="S600" s="1" t="s">
        <v>42</v>
      </c>
      <c r="T600" s="1" t="s">
        <v>203</v>
      </c>
      <c r="U600" s="1">
        <v>10</v>
      </c>
      <c r="V600" s="5">
        <v>43649</v>
      </c>
      <c r="W600" s="5">
        <v>43110</v>
      </c>
      <c r="X600" s="1">
        <v>6850000</v>
      </c>
      <c r="Y600" s="1">
        <v>6100000</v>
      </c>
      <c r="Z600" s="5">
        <v>43120</v>
      </c>
      <c r="AA600" s="1">
        <v>6100000</v>
      </c>
      <c r="AB600" s="1" t="s">
        <v>438</v>
      </c>
      <c r="AC600" s="5">
        <v>43140</v>
      </c>
      <c r="AF600" s="1">
        <v>10007</v>
      </c>
      <c r="AJ600" s="1">
        <v>2016</v>
      </c>
      <c r="AK600" s="1" t="s">
        <v>81</v>
      </c>
      <c r="AL600" s="1">
        <v>157</v>
      </c>
    </row>
    <row r="601" spans="1:38" x14ac:dyDescent="0.2">
      <c r="A601" s="2" t="str">
        <f>HYPERLINK("https://www.compass.com/listing/30-park-place-unit-67a-manhattan-ny-10007/29357588776753825/","30 Park Pl, Unit 67A")</f>
        <v>30 Park Pl, Unit 67A</v>
      </c>
      <c r="B601" s="2" t="str">
        <f t="shared" si="100"/>
        <v>30 Park Pl</v>
      </c>
      <c r="C601" s="1" t="s">
        <v>40</v>
      </c>
      <c r="D601" s="1" t="s">
        <v>41</v>
      </c>
      <c r="E601" s="3">
        <v>11750000</v>
      </c>
      <c r="F601" s="1">
        <v>3176.5341984319998</v>
      </c>
      <c r="G601" s="1">
        <v>7</v>
      </c>
      <c r="H601" s="1">
        <v>4</v>
      </c>
      <c r="I601" s="1">
        <v>5</v>
      </c>
      <c r="J601" s="1">
        <v>5.5</v>
      </c>
      <c r="K601" s="1">
        <v>5</v>
      </c>
      <c r="L601" s="1">
        <v>1</v>
      </c>
      <c r="M601" s="4">
        <v>3699</v>
      </c>
      <c r="N601" s="1">
        <v>3159</v>
      </c>
      <c r="O601" s="1">
        <v>11213</v>
      </c>
      <c r="P601" s="1">
        <v>8054</v>
      </c>
      <c r="Q601" s="1" t="s">
        <v>42</v>
      </c>
      <c r="S601" s="1" t="s">
        <v>42</v>
      </c>
      <c r="T601" s="1" t="s">
        <v>203</v>
      </c>
      <c r="U601" s="1">
        <v>292</v>
      </c>
      <c r="V601" s="5">
        <v>43650</v>
      </c>
      <c r="W601" s="5">
        <v>42643</v>
      </c>
      <c r="X601" s="1">
        <v>13350000</v>
      </c>
      <c r="Y601" s="1">
        <v>11750000</v>
      </c>
      <c r="Z601" s="5">
        <v>42935</v>
      </c>
      <c r="AA601" s="1">
        <v>11750000</v>
      </c>
      <c r="AB601" s="1" t="s">
        <v>439</v>
      </c>
      <c r="AC601" s="5">
        <v>42977</v>
      </c>
      <c r="AF601" s="1">
        <v>10007</v>
      </c>
      <c r="AJ601" s="1">
        <v>2016</v>
      </c>
      <c r="AK601" s="1" t="s">
        <v>81</v>
      </c>
      <c r="AL601" s="1">
        <v>157</v>
      </c>
    </row>
    <row r="602" spans="1:38" x14ac:dyDescent="0.2">
      <c r="A602" s="2" t="str">
        <f>HYPERLINK("https://www.compass.com/listing/30-park-place-unit-72a-manhattan-ny-10007/29357592190914129/","30 Park Pl, Unit 72A")</f>
        <v>30 Park Pl, Unit 72A</v>
      </c>
      <c r="B602" s="2" t="str">
        <f t="shared" si="100"/>
        <v>30 Park Pl</v>
      </c>
      <c r="C602" s="1" t="s">
        <v>40</v>
      </c>
      <c r="D602" s="1" t="s">
        <v>41</v>
      </c>
      <c r="E602" s="3">
        <v>13500000</v>
      </c>
      <c r="F602" s="1">
        <v>3649.63503649635</v>
      </c>
      <c r="G602" s="1">
        <v>8</v>
      </c>
      <c r="H602" s="1">
        <v>4</v>
      </c>
      <c r="I602" s="1">
        <v>5</v>
      </c>
      <c r="J602" s="1">
        <v>5.5</v>
      </c>
      <c r="K602" s="1">
        <v>5</v>
      </c>
      <c r="L602" s="1">
        <v>1</v>
      </c>
      <c r="M602" s="4">
        <v>3699</v>
      </c>
      <c r="N602" s="1">
        <v>3186</v>
      </c>
      <c r="O602" s="1">
        <v>11307</v>
      </c>
      <c r="P602" s="1">
        <v>8121</v>
      </c>
      <c r="Q602" s="1" t="s">
        <v>42</v>
      </c>
      <c r="S602" s="1" t="s">
        <v>42</v>
      </c>
      <c r="T602" s="1" t="s">
        <v>203</v>
      </c>
      <c r="V602" s="5">
        <v>43662</v>
      </c>
      <c r="W602" s="5">
        <v>42704</v>
      </c>
      <c r="X602" s="1">
        <v>13500000</v>
      </c>
      <c r="Y602" s="1">
        <v>13500000</v>
      </c>
      <c r="Z602" s="5">
        <v>42859</v>
      </c>
      <c r="AA602" s="1">
        <v>13500000</v>
      </c>
      <c r="AB602" s="1" t="s">
        <v>440</v>
      </c>
      <c r="AC602" s="5">
        <v>42878</v>
      </c>
      <c r="AF602" s="1">
        <v>10007</v>
      </c>
      <c r="AI602" s="1" t="s">
        <v>58</v>
      </c>
      <c r="AJ602" s="1">
        <v>2016</v>
      </c>
      <c r="AK602" s="1" t="s">
        <v>81</v>
      </c>
      <c r="AL602" s="1">
        <v>157</v>
      </c>
    </row>
    <row r="603" spans="1:38" x14ac:dyDescent="0.2">
      <c r="A603" s="2" t="str">
        <f>HYPERLINK("https://www.compass.com/listing/30-park-place-unit-65a-manhattan-ny-10007/29512132487875697/","30 Park Pl, Unit 65A")</f>
        <v>30 Park Pl, Unit 65A</v>
      </c>
      <c r="B603" s="2" t="str">
        <f t="shared" si="100"/>
        <v>30 Park Pl</v>
      </c>
      <c r="C603" s="1" t="s">
        <v>40</v>
      </c>
      <c r="D603" s="1" t="s">
        <v>41</v>
      </c>
      <c r="E603" s="3">
        <v>13084513</v>
      </c>
      <c r="F603" s="1">
        <v>3537.3108948364402</v>
      </c>
      <c r="G603" s="1">
        <v>7.5</v>
      </c>
      <c r="H603" s="1">
        <v>4</v>
      </c>
      <c r="I603" s="1">
        <v>5</v>
      </c>
      <c r="J603" s="1">
        <v>5</v>
      </c>
      <c r="K603" s="1">
        <v>5</v>
      </c>
      <c r="M603" s="4">
        <v>3699</v>
      </c>
      <c r="N603" s="1">
        <v>3149</v>
      </c>
      <c r="O603" s="1">
        <v>11176</v>
      </c>
      <c r="P603" s="1">
        <v>8027</v>
      </c>
      <c r="Q603" s="1" t="s">
        <v>42</v>
      </c>
      <c r="S603" s="1" t="s">
        <v>42</v>
      </c>
      <c r="T603" s="1" t="s">
        <v>203</v>
      </c>
      <c r="U603" s="1">
        <v>47</v>
      </c>
      <c r="V603" s="5">
        <v>43664</v>
      </c>
      <c r="W603" s="5">
        <v>41802</v>
      </c>
      <c r="X603" s="1">
        <v>12850000</v>
      </c>
      <c r="Y603" s="1">
        <v>12850000</v>
      </c>
      <c r="Z603" s="5">
        <v>41849</v>
      </c>
      <c r="AA603" s="1">
        <v>13084513</v>
      </c>
      <c r="AB603" s="1" t="s">
        <v>441</v>
      </c>
      <c r="AC603" s="5">
        <v>42795</v>
      </c>
      <c r="AF603" s="1">
        <v>10007</v>
      </c>
      <c r="AJ603" s="1">
        <v>2016</v>
      </c>
      <c r="AK603" s="1" t="s">
        <v>81</v>
      </c>
      <c r="AL603" s="1">
        <v>157</v>
      </c>
    </row>
    <row r="604" spans="1:38" x14ac:dyDescent="0.2">
      <c r="A604" s="2" t="str">
        <f>HYPERLINK("https://www.compass.com/listing/30-park-place-unit-69a-manhattan-ny-10007/29512135566495009/","30 Park Pl, Unit 69A")</f>
        <v>30 Park Pl, Unit 69A</v>
      </c>
      <c r="B604" s="2" t="str">
        <f t="shared" si="100"/>
        <v>30 Park Pl</v>
      </c>
      <c r="C604" s="1" t="s">
        <v>40</v>
      </c>
      <c r="D604" s="1" t="s">
        <v>41</v>
      </c>
      <c r="E604" s="3">
        <v>11100000</v>
      </c>
      <c r="F604" s="1">
        <v>3000.8110300081098</v>
      </c>
      <c r="G604" s="1">
        <v>8</v>
      </c>
      <c r="H604" s="1">
        <v>4</v>
      </c>
      <c r="I604" s="1">
        <v>6</v>
      </c>
      <c r="J604" s="1">
        <v>5.5</v>
      </c>
      <c r="K604" s="1">
        <v>5</v>
      </c>
      <c r="L604" s="1">
        <v>1</v>
      </c>
      <c r="M604" s="4">
        <v>3699</v>
      </c>
      <c r="N604" s="1">
        <v>3170</v>
      </c>
      <c r="O604" s="1">
        <v>11250</v>
      </c>
      <c r="P604" s="1">
        <v>8080</v>
      </c>
      <c r="Q604" s="1" t="s">
        <v>42</v>
      </c>
      <c r="S604" s="1" t="s">
        <v>42</v>
      </c>
      <c r="T604" s="1" t="s">
        <v>203</v>
      </c>
      <c r="U604" s="1">
        <v>28</v>
      </c>
      <c r="V604" s="5">
        <v>43817</v>
      </c>
      <c r="W604" s="5">
        <v>43468</v>
      </c>
      <c r="X604" s="1">
        <v>12870000</v>
      </c>
      <c r="Y604" s="1">
        <v>11100000</v>
      </c>
      <c r="Z604" s="5">
        <v>43496</v>
      </c>
      <c r="AA604" s="1">
        <v>11100000</v>
      </c>
      <c r="AB604" s="1" t="s">
        <v>442</v>
      </c>
      <c r="AC604" s="5">
        <v>43501</v>
      </c>
      <c r="AF604" s="1">
        <v>10007</v>
      </c>
      <c r="AJ604" s="1">
        <v>2016</v>
      </c>
      <c r="AK604" s="1" t="s">
        <v>81</v>
      </c>
      <c r="AL604" s="1">
        <v>157</v>
      </c>
    </row>
    <row r="605" spans="1:38" x14ac:dyDescent="0.2">
      <c r="A605" s="2" t="str">
        <f>HYPERLINK("https://www.compass.com/listing/30-park-place-unit-68a-manhattan-ny-10007/29512135851748209/","30 Park Pl, Unit 68A")</f>
        <v>30 Park Pl, Unit 68A</v>
      </c>
      <c r="B605" s="2" t="str">
        <f t="shared" si="100"/>
        <v>30 Park Pl</v>
      </c>
      <c r="C605" s="1" t="s">
        <v>40</v>
      </c>
      <c r="D605" s="1" t="s">
        <v>41</v>
      </c>
      <c r="E605" s="3">
        <v>11000000</v>
      </c>
      <c r="F605" s="1">
        <v>2973.7766964044299</v>
      </c>
      <c r="G605" s="1">
        <v>8</v>
      </c>
      <c r="H605" s="1">
        <v>4</v>
      </c>
      <c r="I605" s="1">
        <v>6</v>
      </c>
      <c r="J605" s="1">
        <v>5.5</v>
      </c>
      <c r="K605" s="1">
        <v>5</v>
      </c>
      <c r="L605" s="1">
        <v>1</v>
      </c>
      <c r="M605" s="4">
        <v>3699</v>
      </c>
      <c r="N605" s="1">
        <v>3165</v>
      </c>
      <c r="O605" s="1">
        <v>11303</v>
      </c>
      <c r="P605" s="1">
        <v>8138</v>
      </c>
      <c r="Q605" s="1" t="s">
        <v>42</v>
      </c>
      <c r="S605" s="1" t="s">
        <v>42</v>
      </c>
      <c r="T605" s="1" t="s">
        <v>203</v>
      </c>
      <c r="U605" s="1">
        <v>517</v>
      </c>
      <c r="V605" s="5">
        <v>43648</v>
      </c>
      <c r="W605" s="5">
        <v>42938</v>
      </c>
      <c r="X605" s="1">
        <v>12780000</v>
      </c>
      <c r="Y605" s="1">
        <v>12780000</v>
      </c>
      <c r="Z605" s="5">
        <v>43455</v>
      </c>
      <c r="AA605" s="1">
        <v>11000000</v>
      </c>
      <c r="AB605" s="1" t="s">
        <v>443</v>
      </c>
      <c r="AC605" s="5">
        <v>43462</v>
      </c>
      <c r="AF605" s="1">
        <v>10007</v>
      </c>
      <c r="AJ605" s="1">
        <v>2016</v>
      </c>
      <c r="AK605" s="1" t="s">
        <v>81</v>
      </c>
      <c r="AL605" s="1">
        <v>157</v>
      </c>
    </row>
    <row r="606" spans="1:38" x14ac:dyDescent="0.2">
      <c r="A606" s="2" t="str">
        <f>HYPERLINK("https://www.compass.com/listing/146-church-street-unit-ph-manhattan-ny-10007/400685719537846561/","146 Church St, Unit PH")</f>
        <v>146 Church St, Unit PH</v>
      </c>
      <c r="B606" s="2" t="str">
        <f>HYPERLINK("https://www.compass.com/building/rogue-manhattan-ny/282060065869954789/","Rogue")</f>
        <v>Rogue</v>
      </c>
      <c r="C606" s="1" t="s">
        <v>40</v>
      </c>
      <c r="D606" s="1" t="s">
        <v>41</v>
      </c>
      <c r="E606" s="3">
        <v>2015000</v>
      </c>
      <c r="F606" s="1">
        <v>1132.02247191011</v>
      </c>
      <c r="G606" s="1">
        <v>3</v>
      </c>
      <c r="H606" s="1">
        <v>1</v>
      </c>
      <c r="I606" s="1">
        <v>2</v>
      </c>
      <c r="J606" s="1">
        <v>1.5</v>
      </c>
      <c r="K606" s="1">
        <v>1</v>
      </c>
      <c r="L606" s="1">
        <v>1</v>
      </c>
      <c r="M606" s="4">
        <v>1780</v>
      </c>
      <c r="N606" s="1">
        <v>2432.8200000000002</v>
      </c>
      <c r="O606" s="1">
        <v>3828.82</v>
      </c>
      <c r="P606" s="1">
        <v>1396</v>
      </c>
      <c r="Q606" s="1" t="s">
        <v>42</v>
      </c>
      <c r="S606" s="1" t="s">
        <v>42</v>
      </c>
      <c r="T606" s="1" t="s">
        <v>203</v>
      </c>
      <c r="U606" s="1">
        <v>71</v>
      </c>
      <c r="V606" s="5">
        <v>44203</v>
      </c>
      <c r="W606" s="5">
        <v>43838</v>
      </c>
      <c r="X606" s="1">
        <v>2750000</v>
      </c>
      <c r="Y606" s="1">
        <v>2325000</v>
      </c>
      <c r="Z606" s="5">
        <v>43963</v>
      </c>
      <c r="AA606" s="1">
        <v>2015000</v>
      </c>
      <c r="AB606" s="1" t="s">
        <v>444</v>
      </c>
      <c r="AC606" s="5">
        <v>44180</v>
      </c>
      <c r="AF606" s="1">
        <v>10007</v>
      </c>
      <c r="AI606" s="1" t="s">
        <v>445</v>
      </c>
      <c r="AJ606" s="1">
        <v>2019</v>
      </c>
      <c r="AK606" s="1" t="s">
        <v>50</v>
      </c>
      <c r="AL606" s="1">
        <v>8</v>
      </c>
    </row>
    <row r="607" spans="1:38" x14ac:dyDescent="0.2">
      <c r="A607" s="2" t="str">
        <f>HYPERLINK("https://www.compass.com/listing/30-park-place-unit-40c-manhattan-ny-10007/29357554534550353/","30 Park Pl, Unit 40C")</f>
        <v>30 Park Pl, Unit 40C</v>
      </c>
      <c r="B607" s="2" t="str">
        <f t="shared" ref="B607:B609" si="101">HYPERLINK("https://www.compass.com/building/30-park-pl-manhattan-ny-10007/281896912905317605/","30 Park Pl")</f>
        <v>30 Park Pl</v>
      </c>
      <c r="C607" s="1" t="s">
        <v>40</v>
      </c>
      <c r="D607" s="1" t="s">
        <v>41</v>
      </c>
      <c r="E607" s="3">
        <v>2978381</v>
      </c>
      <c r="F607" s="1">
        <v>2688.06949458483</v>
      </c>
      <c r="G607" s="1">
        <v>3</v>
      </c>
      <c r="H607" s="1">
        <v>1</v>
      </c>
      <c r="I607" s="1">
        <v>1</v>
      </c>
      <c r="J607" s="1">
        <v>1</v>
      </c>
      <c r="K607" s="1">
        <v>1</v>
      </c>
      <c r="M607" s="4">
        <v>1108</v>
      </c>
      <c r="N607" s="1">
        <v>877</v>
      </c>
      <c r="O607" s="1">
        <v>3114</v>
      </c>
      <c r="P607" s="1">
        <v>2237</v>
      </c>
      <c r="Q607" s="1" t="s">
        <v>42</v>
      </c>
      <c r="S607" s="1" t="s">
        <v>42</v>
      </c>
      <c r="T607" s="1" t="s">
        <v>203</v>
      </c>
      <c r="U607" s="1">
        <v>15</v>
      </c>
      <c r="V607" s="5">
        <v>43673</v>
      </c>
      <c r="W607" s="5">
        <v>41845</v>
      </c>
      <c r="X607" s="1">
        <v>2925000</v>
      </c>
      <c r="Y607" s="1">
        <v>2925000</v>
      </c>
      <c r="Z607" s="5">
        <v>41860</v>
      </c>
      <c r="AA607" s="1">
        <v>2978381</v>
      </c>
      <c r="AB607" s="1" t="s">
        <v>446</v>
      </c>
      <c r="AC607" s="5">
        <v>42642</v>
      </c>
      <c r="AF607" s="1">
        <v>10007</v>
      </c>
      <c r="AJ607" s="1">
        <v>2016</v>
      </c>
      <c r="AK607" s="1" t="s">
        <v>81</v>
      </c>
      <c r="AL607" s="1">
        <v>157</v>
      </c>
    </row>
    <row r="608" spans="1:38" x14ac:dyDescent="0.2">
      <c r="A608" s="2" t="str">
        <f>HYPERLINK("https://www.compass.com/listing/30-park-place-unit-41c-manhattan-ny-10007/29357556103121905/","30 Park Pl, Unit 41C")</f>
        <v>30 Park Pl, Unit 41C</v>
      </c>
      <c r="B608" s="2" t="str">
        <f t="shared" si="101"/>
        <v>30 Park Pl</v>
      </c>
      <c r="C608" s="1" t="s">
        <v>40</v>
      </c>
      <c r="D608" s="1" t="s">
        <v>41</v>
      </c>
      <c r="E608" s="3">
        <v>2871465</v>
      </c>
      <c r="F608" s="1">
        <v>2591.5749097472899</v>
      </c>
      <c r="G608" s="1">
        <v>3</v>
      </c>
      <c r="H608" s="1">
        <v>1</v>
      </c>
      <c r="I608" s="1">
        <v>1</v>
      </c>
      <c r="J608" s="1">
        <v>1</v>
      </c>
      <c r="K608" s="1">
        <v>1</v>
      </c>
      <c r="M608" s="4">
        <v>1108</v>
      </c>
      <c r="N608" s="1">
        <v>879</v>
      </c>
      <c r="O608" s="1">
        <v>3119</v>
      </c>
      <c r="P608" s="1">
        <v>2240</v>
      </c>
      <c r="Q608" s="1" t="s">
        <v>42</v>
      </c>
      <c r="S608" s="1" t="s">
        <v>42</v>
      </c>
      <c r="T608" s="1" t="s">
        <v>203</v>
      </c>
      <c r="U608" s="1">
        <v>1</v>
      </c>
      <c r="V608" s="5">
        <v>43665</v>
      </c>
      <c r="W608" s="5">
        <v>41885</v>
      </c>
      <c r="X608" s="1">
        <v>3045000</v>
      </c>
      <c r="Y608" s="1">
        <v>2820000</v>
      </c>
      <c r="Z608" s="5">
        <v>42066</v>
      </c>
      <c r="AA608" s="1">
        <v>2871465</v>
      </c>
      <c r="AB608" s="1" t="s">
        <v>447</v>
      </c>
      <c r="AC608" s="5">
        <v>42633</v>
      </c>
      <c r="AF608" s="1">
        <v>10007</v>
      </c>
      <c r="AI608" s="1" t="s">
        <v>58</v>
      </c>
      <c r="AJ608" s="1">
        <v>2016</v>
      </c>
      <c r="AK608" s="1" t="s">
        <v>81</v>
      </c>
      <c r="AL608" s="1">
        <v>157</v>
      </c>
    </row>
    <row r="609" spans="1:38" x14ac:dyDescent="0.2">
      <c r="A609" s="2" t="str">
        <f>HYPERLINK("https://www.compass.com/listing/30-park-place-unit-ph81-manhattan-ny-10007/29357597484125873/","30 Park Pl, Unit PH81")</f>
        <v>30 Park Pl, Unit PH81</v>
      </c>
      <c r="B609" s="2" t="str">
        <f t="shared" si="101"/>
        <v>30 Park Pl</v>
      </c>
      <c r="C609" s="1" t="s">
        <v>40</v>
      </c>
      <c r="D609" s="1" t="s">
        <v>41</v>
      </c>
      <c r="E609" s="3">
        <v>26626268</v>
      </c>
      <c r="F609" s="1">
        <v>4891.8368546757301</v>
      </c>
      <c r="G609" s="1">
        <v>10</v>
      </c>
      <c r="H609" s="1">
        <v>4</v>
      </c>
      <c r="I609" s="1">
        <v>4</v>
      </c>
      <c r="J609" s="1">
        <v>4</v>
      </c>
      <c r="K609" s="1">
        <v>4</v>
      </c>
      <c r="M609" s="4">
        <v>5443</v>
      </c>
      <c r="N609" s="1">
        <v>5330</v>
      </c>
      <c r="O609" s="1">
        <v>18917</v>
      </c>
      <c r="P609" s="1">
        <v>13587</v>
      </c>
      <c r="Q609" s="1" t="s">
        <v>42</v>
      </c>
      <c r="S609" s="1" t="s">
        <v>42</v>
      </c>
      <c r="T609" s="1" t="s">
        <v>203</v>
      </c>
      <c r="V609" s="5">
        <v>43665</v>
      </c>
      <c r="W609" s="5">
        <v>42704</v>
      </c>
      <c r="X609" s="1">
        <v>26190000</v>
      </c>
      <c r="Y609" s="1">
        <v>26190000</v>
      </c>
      <c r="Z609" s="5">
        <v>42704</v>
      </c>
      <c r="AA609" s="1">
        <v>26626268</v>
      </c>
      <c r="AB609" s="1" t="s">
        <v>448</v>
      </c>
      <c r="AC609" s="5">
        <v>42753</v>
      </c>
      <c r="AF609" s="1">
        <v>10007</v>
      </c>
      <c r="AI609" s="1" t="s">
        <v>71</v>
      </c>
      <c r="AJ609" s="1">
        <v>2016</v>
      </c>
      <c r="AK609" s="1" t="s">
        <v>81</v>
      </c>
      <c r="AL609" s="1">
        <v>157</v>
      </c>
    </row>
    <row r="610" spans="1:38" x14ac:dyDescent="0.2">
      <c r="A610" s="2" t="str">
        <f>HYPERLINK("https://www.compass.com/listing/34-west-17th-street-unit-4-manhattan-ny-10011/29374426743107009/","34 W 17th St, Unit 4")</f>
        <v>34 W 17th St, Unit 4</v>
      </c>
      <c r="B610" s="2" t="str">
        <f t="shared" ref="B610:B611" si="102">HYPERLINK("https://www.compass.com/building/the-paperbox-building-manhattan-ny/281909156036761877/","The Paperbox Building")</f>
        <v>The Paperbox Building</v>
      </c>
      <c r="C610" s="1" t="s">
        <v>358</v>
      </c>
      <c r="D610" s="1" t="s">
        <v>41</v>
      </c>
      <c r="E610" s="3">
        <v>3945719</v>
      </c>
      <c r="F610" s="1">
        <v>1767.79525089605</v>
      </c>
      <c r="G610" s="1">
        <v>7</v>
      </c>
      <c r="H610" s="1">
        <v>3</v>
      </c>
      <c r="I610" s="1">
        <v>3</v>
      </c>
      <c r="J610" s="1">
        <v>3</v>
      </c>
      <c r="M610" s="4">
        <v>2232</v>
      </c>
      <c r="N610" s="1">
        <v>1791</v>
      </c>
      <c r="O610" s="1">
        <v>4255</v>
      </c>
      <c r="P610" s="1">
        <v>2464</v>
      </c>
      <c r="Q610" s="1" t="s">
        <v>42</v>
      </c>
      <c r="S610" s="1" t="s">
        <v>42</v>
      </c>
      <c r="T610" s="1" t="s">
        <v>203</v>
      </c>
      <c r="U610" s="1">
        <v>12</v>
      </c>
      <c r="V610" s="5">
        <v>43668</v>
      </c>
      <c r="W610" s="5">
        <v>42706</v>
      </c>
      <c r="X610" s="1">
        <v>4075000</v>
      </c>
      <c r="Y610" s="1">
        <v>4075000</v>
      </c>
      <c r="Z610" s="5">
        <v>42718</v>
      </c>
      <c r="AA610" s="1">
        <v>3945719</v>
      </c>
      <c r="AB610" s="1" t="s">
        <v>449</v>
      </c>
      <c r="AC610" s="5">
        <v>42833</v>
      </c>
      <c r="AF610" s="1">
        <v>10011</v>
      </c>
      <c r="AJ610" s="1">
        <v>1910</v>
      </c>
      <c r="AK610" s="1" t="s">
        <v>360</v>
      </c>
      <c r="AL610" s="1">
        <v>9</v>
      </c>
    </row>
    <row r="611" spans="1:38" x14ac:dyDescent="0.2">
      <c r="A611" s="2" t="str">
        <f>HYPERLINK("https://www.compass.com/listing/34-west-17th-street-unit-6-manhattan-ny-10011/29374427615577921/","34 W 17th St, Unit 6")</f>
        <v>34 W 17th St, Unit 6</v>
      </c>
      <c r="B611" s="2" t="str">
        <f t="shared" si="102"/>
        <v>The Paperbox Building</v>
      </c>
      <c r="C611" s="1" t="s">
        <v>358</v>
      </c>
      <c r="D611" s="1" t="s">
        <v>41</v>
      </c>
      <c r="E611" s="3">
        <v>4050000</v>
      </c>
      <c r="F611" s="1">
        <v>1813.70353784146</v>
      </c>
      <c r="G611" s="1">
        <v>7</v>
      </c>
      <c r="H611" s="1">
        <v>3</v>
      </c>
      <c r="I611" s="1">
        <v>3</v>
      </c>
      <c r="J611" s="1">
        <v>3</v>
      </c>
      <c r="M611" s="4">
        <v>2233</v>
      </c>
      <c r="N611" s="1">
        <v>1792</v>
      </c>
      <c r="O611" s="1">
        <v>4257</v>
      </c>
      <c r="P611" s="1">
        <v>2465</v>
      </c>
      <c r="Q611" s="1" t="s">
        <v>42</v>
      </c>
      <c r="S611" s="1" t="s">
        <v>42</v>
      </c>
      <c r="T611" s="1" t="s">
        <v>203</v>
      </c>
      <c r="V611" s="5">
        <v>43665</v>
      </c>
      <c r="W611" s="5">
        <v>42706</v>
      </c>
      <c r="X611" s="1">
        <v>4375000</v>
      </c>
      <c r="Y611" s="1">
        <v>4375000</v>
      </c>
      <c r="Z611" s="5">
        <v>42706</v>
      </c>
      <c r="AA611" s="1">
        <v>4050000</v>
      </c>
      <c r="AB611" s="1" t="s">
        <v>450</v>
      </c>
      <c r="AC611" s="5">
        <v>42865</v>
      </c>
      <c r="AF611" s="1">
        <v>10011</v>
      </c>
      <c r="AJ611" s="1">
        <v>1910</v>
      </c>
      <c r="AK611" s="1" t="s">
        <v>360</v>
      </c>
      <c r="AL611" s="1">
        <v>9</v>
      </c>
    </row>
    <row r="612" spans="1:38" x14ac:dyDescent="0.2">
      <c r="A612" s="2" t="str">
        <f>HYPERLINK("https://www.compass.com/listing/30-park-place-unit-40a-manhattan-ny-10007/29357553754314817/","30 Park Pl, Unit 40A")</f>
        <v>30 Park Pl, Unit 40A</v>
      </c>
      <c r="B612" s="2" t="str">
        <f t="shared" ref="B612:B628" si="103">HYPERLINK("https://www.compass.com/building/30-park-pl-manhattan-ny-10007/281896912905317605/","30 Park Pl")</f>
        <v>30 Park Pl</v>
      </c>
      <c r="C612" s="1" t="s">
        <v>40</v>
      </c>
      <c r="D612" s="1" t="s">
        <v>41</v>
      </c>
      <c r="E612" s="3">
        <v>6211325</v>
      </c>
      <c r="F612" s="1">
        <v>2799.15502478593</v>
      </c>
      <c r="G612" s="1">
        <v>5.5</v>
      </c>
      <c r="H612" s="1">
        <v>3</v>
      </c>
      <c r="I612" s="1">
        <v>3</v>
      </c>
      <c r="J612" s="1">
        <v>3</v>
      </c>
      <c r="K612" s="1">
        <v>3</v>
      </c>
      <c r="M612" s="4">
        <v>2219</v>
      </c>
      <c r="N612" s="1">
        <v>1796</v>
      </c>
      <c r="O612" s="1">
        <v>6375</v>
      </c>
      <c r="P612" s="1">
        <v>4579</v>
      </c>
      <c r="Q612" s="1" t="s">
        <v>42</v>
      </c>
      <c r="S612" s="1" t="s">
        <v>42</v>
      </c>
      <c r="T612" s="1" t="s">
        <v>203</v>
      </c>
      <c r="U612" s="1">
        <v>14</v>
      </c>
      <c r="V612" s="5">
        <v>43665</v>
      </c>
      <c r="W612" s="5">
        <v>41843</v>
      </c>
      <c r="X612" s="1">
        <v>6850000</v>
      </c>
      <c r="Y612" s="1">
        <v>6100000</v>
      </c>
      <c r="Z612" s="5">
        <v>41857</v>
      </c>
      <c r="AA612" s="1">
        <v>6211325</v>
      </c>
      <c r="AB612" s="1" t="s">
        <v>451</v>
      </c>
      <c r="AC612" s="5">
        <v>42607</v>
      </c>
      <c r="AF612" s="1">
        <v>10007</v>
      </c>
      <c r="AJ612" s="1">
        <v>2016</v>
      </c>
      <c r="AK612" s="1" t="s">
        <v>81</v>
      </c>
      <c r="AL612" s="1">
        <v>157</v>
      </c>
    </row>
    <row r="613" spans="1:38" x14ac:dyDescent="0.2">
      <c r="A613" s="2" t="str">
        <f>HYPERLINK("https://www.compass.com/listing/30-park-place-unit-43a-manhattan-ny-10007/29357558577859489/","30 Park Pl, Unit 43A")</f>
        <v>30 Park Pl, Unit 43A</v>
      </c>
      <c r="B613" s="2" t="str">
        <f t="shared" si="103"/>
        <v>30 Park Pl</v>
      </c>
      <c r="C613" s="1" t="s">
        <v>40</v>
      </c>
      <c r="D613" s="1" t="s">
        <v>41</v>
      </c>
      <c r="E613" s="3">
        <v>6364063</v>
      </c>
      <c r="F613" s="1">
        <v>2867.9869310500198</v>
      </c>
      <c r="G613" s="1">
        <v>5.5</v>
      </c>
      <c r="H613" s="1">
        <v>3</v>
      </c>
      <c r="I613" s="1">
        <v>3</v>
      </c>
      <c r="J613" s="1">
        <v>3</v>
      </c>
      <c r="K613" s="1">
        <v>3</v>
      </c>
      <c r="M613" s="4">
        <v>2219</v>
      </c>
      <c r="N613" s="1">
        <v>1804</v>
      </c>
      <c r="O613" s="1">
        <v>6404</v>
      </c>
      <c r="P613" s="1">
        <v>4600</v>
      </c>
      <c r="Q613" s="1" t="s">
        <v>42</v>
      </c>
      <c r="S613" s="1" t="s">
        <v>42</v>
      </c>
      <c r="T613" s="1" t="s">
        <v>203</v>
      </c>
      <c r="U613" s="1">
        <v>24</v>
      </c>
      <c r="V613" s="5">
        <v>43673</v>
      </c>
      <c r="W613" s="5">
        <v>41853</v>
      </c>
      <c r="X613" s="1">
        <v>7000000</v>
      </c>
      <c r="Y613" s="1">
        <v>7000000</v>
      </c>
      <c r="Z613" s="5">
        <v>41877</v>
      </c>
      <c r="AA613" s="1">
        <v>6364063</v>
      </c>
      <c r="AB613" s="1" t="s">
        <v>452</v>
      </c>
      <c r="AC613" s="5">
        <v>42572</v>
      </c>
      <c r="AF613" s="1">
        <v>10007</v>
      </c>
      <c r="AJ613" s="1">
        <v>2016</v>
      </c>
      <c r="AK613" s="1" t="s">
        <v>81</v>
      </c>
      <c r="AL613" s="1">
        <v>157</v>
      </c>
    </row>
    <row r="614" spans="1:38" x14ac:dyDescent="0.2">
      <c r="A614" s="2" t="str">
        <f>HYPERLINK("https://www.compass.com/listing/30-park-place-unit-44a-manhattan-ny-10007/29357559844444321/","30 Park Pl, Unit 44A")</f>
        <v>30 Park Pl, Unit 44A</v>
      </c>
      <c r="B614" s="2" t="str">
        <f t="shared" si="103"/>
        <v>30 Park Pl</v>
      </c>
      <c r="C614" s="1" t="s">
        <v>40</v>
      </c>
      <c r="D614" s="1" t="s">
        <v>41</v>
      </c>
      <c r="E614" s="3">
        <v>6618625</v>
      </c>
      <c r="F614" s="1">
        <v>2982.7061739522301</v>
      </c>
      <c r="G614" s="1">
        <v>5.5</v>
      </c>
      <c r="H614" s="1">
        <v>3</v>
      </c>
      <c r="I614" s="1">
        <v>3</v>
      </c>
      <c r="J614" s="1">
        <v>3</v>
      </c>
      <c r="K614" s="1">
        <v>3</v>
      </c>
      <c r="M614" s="4">
        <v>2219</v>
      </c>
      <c r="N614" s="1">
        <v>1807</v>
      </c>
      <c r="O614" s="1">
        <v>6413</v>
      </c>
      <c r="P614" s="1">
        <v>4606</v>
      </c>
      <c r="Q614" s="1" t="s">
        <v>42</v>
      </c>
      <c r="S614" s="1" t="s">
        <v>42</v>
      </c>
      <c r="T614" s="1" t="s">
        <v>203</v>
      </c>
      <c r="V614" s="5">
        <v>43673</v>
      </c>
      <c r="W614" s="5">
        <v>41808</v>
      </c>
      <c r="X614" s="1">
        <v>7050000</v>
      </c>
      <c r="Y614" s="1">
        <v>7050000</v>
      </c>
      <c r="Z614" s="5">
        <v>41808</v>
      </c>
      <c r="AA614" s="1">
        <v>6618625</v>
      </c>
      <c r="AB614" s="1" t="s">
        <v>453</v>
      </c>
      <c r="AC614" s="5">
        <v>42584</v>
      </c>
      <c r="AF614" s="1">
        <v>10007</v>
      </c>
      <c r="AJ614" s="1">
        <v>2016</v>
      </c>
      <c r="AK614" s="1" t="s">
        <v>81</v>
      </c>
      <c r="AL614" s="1">
        <v>157</v>
      </c>
    </row>
    <row r="615" spans="1:38" x14ac:dyDescent="0.2">
      <c r="A615" s="2" t="str">
        <f>HYPERLINK("https://www.compass.com/listing/30-park-place-unit-44d-manhattan-ny-10007/29357560783968433/","30 Park Pl, Unit 44D")</f>
        <v>30 Park Pl, Unit 44D</v>
      </c>
      <c r="B615" s="2" t="str">
        <f t="shared" si="103"/>
        <v>30 Park Pl</v>
      </c>
      <c r="C615" s="1" t="s">
        <v>40</v>
      </c>
      <c r="D615" s="1" t="s">
        <v>41</v>
      </c>
      <c r="E615" s="3">
        <v>6567713</v>
      </c>
      <c r="F615" s="1">
        <v>2899.6523178807902</v>
      </c>
      <c r="G615" s="1">
        <v>5.5</v>
      </c>
      <c r="H615" s="1">
        <v>3</v>
      </c>
      <c r="I615" s="1">
        <v>3</v>
      </c>
      <c r="J615" s="1">
        <v>3</v>
      </c>
      <c r="K615" s="1">
        <v>3</v>
      </c>
      <c r="M615" s="4">
        <v>2265</v>
      </c>
      <c r="N615" s="1">
        <v>1788</v>
      </c>
      <c r="O615" s="1">
        <v>6346</v>
      </c>
      <c r="P615" s="1">
        <v>4558</v>
      </c>
      <c r="Q615" s="1" t="s">
        <v>42</v>
      </c>
      <c r="S615" s="1" t="s">
        <v>42</v>
      </c>
      <c r="T615" s="1" t="s">
        <v>203</v>
      </c>
      <c r="U615" s="1">
        <v>144</v>
      </c>
      <c r="V615" s="5">
        <v>43605</v>
      </c>
      <c r="W615" s="5">
        <v>41932</v>
      </c>
      <c r="X615" s="1">
        <v>6150000</v>
      </c>
      <c r="Y615" s="1">
        <v>6450000</v>
      </c>
      <c r="Z615" s="5">
        <v>42077</v>
      </c>
      <c r="AA615" s="1">
        <v>6567712.5</v>
      </c>
      <c r="AB615" s="1" t="s">
        <v>454</v>
      </c>
      <c r="AC615" s="5">
        <v>42696</v>
      </c>
      <c r="AF615" s="1">
        <v>10007</v>
      </c>
      <c r="AJ615" s="1">
        <v>2016</v>
      </c>
      <c r="AK615" s="1" t="s">
        <v>81</v>
      </c>
      <c r="AL615" s="1">
        <v>157</v>
      </c>
    </row>
    <row r="616" spans="1:38" x14ac:dyDescent="0.2">
      <c r="A616" s="2" t="str">
        <f>HYPERLINK("https://www.compass.com/listing/30-park-place-unit-54b-manhattan-ny-10007/29357572838395169/","30 Park Pl, Unit 54B")</f>
        <v>30 Park Pl, Unit 54B</v>
      </c>
      <c r="B616" s="2" t="str">
        <f t="shared" si="103"/>
        <v>30 Park Pl</v>
      </c>
      <c r="C616" s="1" t="s">
        <v>40</v>
      </c>
      <c r="D616" s="1" t="s">
        <v>41</v>
      </c>
      <c r="E616" s="3">
        <v>6567713</v>
      </c>
      <c r="F616" s="1">
        <v>2967.7871667419699</v>
      </c>
      <c r="G616" s="1">
        <v>6</v>
      </c>
      <c r="H616" s="1">
        <v>3</v>
      </c>
      <c r="I616" s="1">
        <v>3</v>
      </c>
      <c r="J616" s="1">
        <v>3</v>
      </c>
      <c r="K616" s="1">
        <v>3</v>
      </c>
      <c r="M616" s="4">
        <v>2213</v>
      </c>
      <c r="N616" s="1">
        <v>1798</v>
      </c>
      <c r="O616" s="1">
        <v>6381</v>
      </c>
      <c r="P616" s="1">
        <v>4583</v>
      </c>
      <c r="Q616" s="1" t="s">
        <v>42</v>
      </c>
      <c r="S616" s="1" t="s">
        <v>42</v>
      </c>
      <c r="T616" s="1" t="s">
        <v>203</v>
      </c>
      <c r="U616" s="1">
        <v>34</v>
      </c>
      <c r="V616" s="5">
        <v>43673</v>
      </c>
      <c r="W616" s="5">
        <v>41802</v>
      </c>
      <c r="X616" s="1">
        <v>6450000</v>
      </c>
      <c r="Y616" s="1">
        <v>6450000</v>
      </c>
      <c r="Z616" s="5">
        <v>41836</v>
      </c>
      <c r="AA616" s="1">
        <v>6567713</v>
      </c>
      <c r="AB616" s="1" t="s">
        <v>455</v>
      </c>
      <c r="AC616" s="5">
        <v>42717</v>
      </c>
      <c r="AF616" s="1">
        <v>10007</v>
      </c>
      <c r="AJ616" s="1">
        <v>2016</v>
      </c>
      <c r="AK616" s="1" t="s">
        <v>81</v>
      </c>
      <c r="AL616" s="1">
        <v>157</v>
      </c>
    </row>
    <row r="617" spans="1:38" x14ac:dyDescent="0.2">
      <c r="A617" s="2" t="str">
        <f>HYPERLINK("https://www.compass.com/listing/30-park-place-unit-69c-manhattan-ny-10007/29357590563622289/","30 Park Pl, Unit 69C")</f>
        <v>30 Park Pl, Unit 69C</v>
      </c>
      <c r="B617" s="2" t="str">
        <f t="shared" si="103"/>
        <v>30 Park Pl</v>
      </c>
      <c r="C617" s="1" t="s">
        <v>40</v>
      </c>
      <c r="D617" s="1" t="s">
        <v>41</v>
      </c>
      <c r="E617" s="3">
        <v>6118000</v>
      </c>
      <c r="F617" s="1">
        <v>3370.79889807162</v>
      </c>
      <c r="G617" s="1">
        <v>5</v>
      </c>
      <c r="H617" s="1">
        <v>3</v>
      </c>
      <c r="I617" s="1">
        <v>3</v>
      </c>
      <c r="J617" s="1">
        <v>3</v>
      </c>
      <c r="K617" s="1">
        <v>3</v>
      </c>
      <c r="M617" s="4">
        <v>1815</v>
      </c>
      <c r="N617" s="1">
        <v>1490</v>
      </c>
      <c r="O617" s="1">
        <v>5287</v>
      </c>
      <c r="P617" s="1">
        <v>3797</v>
      </c>
      <c r="Q617" s="1" t="s">
        <v>42</v>
      </c>
      <c r="S617" s="1" t="s">
        <v>42</v>
      </c>
      <c r="T617" s="1" t="s">
        <v>203</v>
      </c>
      <c r="U617" s="1">
        <v>70</v>
      </c>
      <c r="V617" s="5">
        <v>43664</v>
      </c>
      <c r="W617" s="5">
        <v>42823</v>
      </c>
      <c r="X617" s="1">
        <v>6650000</v>
      </c>
      <c r="Y617" s="1">
        <v>6118000</v>
      </c>
      <c r="Z617" s="5">
        <v>42893</v>
      </c>
      <c r="AA617" s="1">
        <v>6118000</v>
      </c>
      <c r="AB617" s="1" t="s">
        <v>456</v>
      </c>
      <c r="AC617" s="5">
        <v>42922</v>
      </c>
      <c r="AF617" s="1">
        <v>10007</v>
      </c>
      <c r="AJ617" s="1">
        <v>2016</v>
      </c>
      <c r="AK617" s="1" t="s">
        <v>81</v>
      </c>
      <c r="AL617" s="1">
        <v>157</v>
      </c>
    </row>
    <row r="618" spans="1:38" x14ac:dyDescent="0.2">
      <c r="A618" s="2" t="str">
        <f>HYPERLINK("https://www.compass.com/listing/30-park-place-unit-52b-manhattan-ny-10007/29357570187693153/","30 Park Pl, Unit 52B")</f>
        <v>30 Park Pl, Unit 52B</v>
      </c>
      <c r="B618" s="2" t="str">
        <f t="shared" si="103"/>
        <v>30 Park Pl</v>
      </c>
      <c r="C618" s="1" t="s">
        <v>40</v>
      </c>
      <c r="D618" s="1" t="s">
        <v>41</v>
      </c>
      <c r="E618" s="3">
        <v>6450000</v>
      </c>
      <c r="F618" s="1">
        <v>2914.5955716222302</v>
      </c>
      <c r="G618" s="1">
        <v>5.5</v>
      </c>
      <c r="H618" s="1">
        <v>3</v>
      </c>
      <c r="I618" s="1">
        <v>3</v>
      </c>
      <c r="J618" s="1">
        <v>3.5</v>
      </c>
      <c r="K618" s="1">
        <v>3</v>
      </c>
      <c r="L618" s="1">
        <v>1</v>
      </c>
      <c r="M618" s="4">
        <v>2213</v>
      </c>
      <c r="N618" s="1">
        <v>1792</v>
      </c>
      <c r="O618" s="1">
        <v>6361</v>
      </c>
      <c r="P618" s="1">
        <v>4569</v>
      </c>
      <c r="Q618" s="1" t="s">
        <v>42</v>
      </c>
      <c r="S618" s="1" t="s">
        <v>42</v>
      </c>
      <c r="T618" s="1" t="s">
        <v>203</v>
      </c>
      <c r="U618" s="1">
        <v>4</v>
      </c>
      <c r="V618" s="5">
        <v>43662</v>
      </c>
      <c r="W618" s="5">
        <v>41796</v>
      </c>
      <c r="X618" s="1">
        <v>6350000</v>
      </c>
      <c r="Y618" s="1">
        <v>6450000</v>
      </c>
      <c r="Z618" s="5">
        <v>41800</v>
      </c>
      <c r="AA618" s="1">
        <v>6450000</v>
      </c>
      <c r="AB618" s="1" t="s">
        <v>457</v>
      </c>
      <c r="AC618" s="5">
        <v>42835</v>
      </c>
      <c r="AF618" s="1">
        <v>10007</v>
      </c>
      <c r="AJ618" s="1">
        <v>2016</v>
      </c>
      <c r="AK618" s="1" t="s">
        <v>81</v>
      </c>
      <c r="AL618" s="1">
        <v>157</v>
      </c>
    </row>
    <row r="619" spans="1:38" x14ac:dyDescent="0.2">
      <c r="A619" s="2" t="str">
        <f>HYPERLINK("https://www.compass.com/listing/30-park-place-unit-53a-manhattan-ny-10007/29357571311766641/","30 Park Pl, Unit 53A")</f>
        <v>30 Park Pl, Unit 53A</v>
      </c>
      <c r="B619" s="2" t="str">
        <f t="shared" si="103"/>
        <v>30 Park Pl</v>
      </c>
      <c r="C619" s="1" t="s">
        <v>40</v>
      </c>
      <c r="D619" s="1" t="s">
        <v>41</v>
      </c>
      <c r="E619" s="3">
        <v>8655125</v>
      </c>
      <c r="F619" s="1">
        <v>3079.01992173603</v>
      </c>
      <c r="G619" s="1">
        <v>6.5</v>
      </c>
      <c r="H619" s="1">
        <v>4</v>
      </c>
      <c r="I619" s="1">
        <v>4</v>
      </c>
      <c r="J619" s="1">
        <v>4</v>
      </c>
      <c r="K619" s="1">
        <v>4</v>
      </c>
      <c r="M619" s="4">
        <v>2811</v>
      </c>
      <c r="N619" s="1">
        <v>2326</v>
      </c>
      <c r="O619" s="1">
        <v>8256</v>
      </c>
      <c r="P619" s="1">
        <v>5930</v>
      </c>
      <c r="Q619" s="1" t="s">
        <v>42</v>
      </c>
      <c r="S619" s="1" t="s">
        <v>42</v>
      </c>
      <c r="T619" s="1" t="s">
        <v>203</v>
      </c>
      <c r="U619" s="1">
        <v>4</v>
      </c>
      <c r="V619" s="5">
        <v>43665</v>
      </c>
      <c r="W619" s="5">
        <v>41796</v>
      </c>
      <c r="X619" s="1">
        <v>8800000</v>
      </c>
      <c r="Y619" s="1">
        <v>8500000</v>
      </c>
      <c r="Z619" s="5">
        <v>41800</v>
      </c>
      <c r="AA619" s="1">
        <v>8655125</v>
      </c>
      <c r="AB619" s="1" t="s">
        <v>458</v>
      </c>
      <c r="AC619" s="5">
        <v>42621</v>
      </c>
      <c r="AF619" s="1">
        <v>10007</v>
      </c>
      <c r="AJ619" s="1">
        <v>2016</v>
      </c>
      <c r="AK619" s="1" t="s">
        <v>81</v>
      </c>
      <c r="AL619" s="1">
        <v>157</v>
      </c>
    </row>
    <row r="620" spans="1:38" x14ac:dyDescent="0.2">
      <c r="A620" s="2" t="str">
        <f>HYPERLINK("https://www.compass.com/listing/30-park-place-unit-55a-manhattan-ny-10007/29357574189059233/","30 Park Pl, Unit 55A")</f>
        <v>30 Park Pl, Unit 55A</v>
      </c>
      <c r="B620" s="2" t="str">
        <f t="shared" si="103"/>
        <v>30 Park Pl</v>
      </c>
      <c r="C620" s="1" t="s">
        <v>40</v>
      </c>
      <c r="D620" s="1" t="s">
        <v>41</v>
      </c>
      <c r="E620" s="3">
        <v>8858775</v>
      </c>
      <c r="F620" s="1">
        <v>3151.4674493062898</v>
      </c>
      <c r="G620" s="1">
        <v>7</v>
      </c>
      <c r="H620" s="1">
        <v>4</v>
      </c>
      <c r="I620" s="1">
        <v>4</v>
      </c>
      <c r="J620" s="1">
        <v>4</v>
      </c>
      <c r="K620" s="1">
        <v>4</v>
      </c>
      <c r="M620" s="4">
        <v>2811</v>
      </c>
      <c r="N620" s="1">
        <v>5957</v>
      </c>
      <c r="O620" s="1">
        <v>8294</v>
      </c>
      <c r="P620" s="1">
        <v>2337</v>
      </c>
      <c r="Q620" s="1" t="s">
        <v>42</v>
      </c>
      <c r="S620" s="1" t="s">
        <v>42</v>
      </c>
      <c r="T620" s="1" t="s">
        <v>203</v>
      </c>
      <c r="U620" s="1">
        <v>13</v>
      </c>
      <c r="V620" s="5">
        <v>43673</v>
      </c>
      <c r="W620" s="5">
        <v>41802</v>
      </c>
      <c r="X620" s="1">
        <v>9000000</v>
      </c>
      <c r="Y620" s="1">
        <v>8700000</v>
      </c>
      <c r="Z620" s="5">
        <v>41815</v>
      </c>
      <c r="AA620" s="1">
        <v>8858775</v>
      </c>
      <c r="AB620" s="1" t="s">
        <v>459</v>
      </c>
      <c r="AC620" s="5">
        <v>42717</v>
      </c>
      <c r="AF620" s="1">
        <v>10007</v>
      </c>
      <c r="AJ620" s="1">
        <v>2016</v>
      </c>
      <c r="AK620" s="1" t="s">
        <v>81</v>
      </c>
      <c r="AL620" s="1">
        <v>157</v>
      </c>
    </row>
    <row r="621" spans="1:38" x14ac:dyDescent="0.2">
      <c r="A621" s="2" t="str">
        <f>HYPERLINK("https://www.compass.com/listing/30-park-place-unit-60a-manhattan-ny-10007/29357581269044481/","30 Park Pl, Unit 60A")</f>
        <v>30 Park Pl, Unit 60A</v>
      </c>
      <c r="B621" s="2" t="str">
        <f t="shared" si="103"/>
        <v>30 Park Pl</v>
      </c>
      <c r="C621" s="1" t="s">
        <v>40</v>
      </c>
      <c r="D621" s="1" t="s">
        <v>41</v>
      </c>
      <c r="E621" s="3">
        <v>9877025</v>
      </c>
      <c r="F621" s="1">
        <v>3513.7050871575898</v>
      </c>
      <c r="G621" s="1">
        <v>7</v>
      </c>
      <c r="H621" s="1">
        <v>4</v>
      </c>
      <c r="I621" s="1">
        <v>4</v>
      </c>
      <c r="J621" s="1">
        <v>4</v>
      </c>
      <c r="K621" s="1">
        <v>4</v>
      </c>
      <c r="M621" s="4">
        <v>2811</v>
      </c>
      <c r="N621" s="1">
        <v>2363</v>
      </c>
      <c r="O621" s="1">
        <v>8387</v>
      </c>
      <c r="P621" s="1">
        <v>6024</v>
      </c>
      <c r="Q621" s="1" t="s">
        <v>42</v>
      </c>
      <c r="S621" s="1" t="s">
        <v>42</v>
      </c>
      <c r="T621" s="1" t="s">
        <v>203</v>
      </c>
      <c r="U621" s="1">
        <v>1</v>
      </c>
      <c r="V621" s="5">
        <v>43668</v>
      </c>
      <c r="W621" s="5">
        <v>42081</v>
      </c>
      <c r="X621" s="1">
        <v>9700000</v>
      </c>
      <c r="Y621" s="1">
        <v>9700000</v>
      </c>
      <c r="Z621" s="5">
        <v>42082</v>
      </c>
      <c r="AA621" s="1">
        <v>9877025</v>
      </c>
      <c r="AB621" s="1" t="s">
        <v>460</v>
      </c>
      <c r="AC621" s="5">
        <v>42754</v>
      </c>
      <c r="AF621" s="1">
        <v>10007</v>
      </c>
      <c r="AJ621" s="1">
        <v>2016</v>
      </c>
      <c r="AK621" s="1" t="s">
        <v>81</v>
      </c>
      <c r="AL621" s="1">
        <v>157</v>
      </c>
    </row>
    <row r="622" spans="1:38" x14ac:dyDescent="0.2">
      <c r="A622" s="2" t="str">
        <f>HYPERLINK("https://www.compass.com/listing/30-park-place-unit-64a-manhattan-ny-10007/29357585672968801/","30 Park Pl, Unit 64A")</f>
        <v>30 Park Pl, Unit 64A</v>
      </c>
      <c r="B622" s="2" t="str">
        <f t="shared" si="103"/>
        <v>30 Park Pl</v>
      </c>
      <c r="C622" s="1" t="s">
        <v>40</v>
      </c>
      <c r="D622" s="1" t="s">
        <v>41</v>
      </c>
      <c r="E622" s="3">
        <v>12982688</v>
      </c>
      <c r="F622" s="1">
        <v>3509.7831846444901</v>
      </c>
      <c r="G622" s="1">
        <v>7.5</v>
      </c>
      <c r="H622" s="1">
        <v>4</v>
      </c>
      <c r="I622" s="1">
        <v>5</v>
      </c>
      <c r="J622" s="1">
        <v>5</v>
      </c>
      <c r="K622" s="1">
        <v>5</v>
      </c>
      <c r="M622" s="4">
        <v>3699</v>
      </c>
      <c r="N622" s="1">
        <v>3144</v>
      </c>
      <c r="O622" s="1">
        <v>11157</v>
      </c>
      <c r="P622" s="1">
        <v>8013</v>
      </c>
      <c r="Q622" s="1" t="s">
        <v>42</v>
      </c>
      <c r="S622" s="1" t="s">
        <v>42</v>
      </c>
      <c r="T622" s="1" t="s">
        <v>203</v>
      </c>
      <c r="U622" s="1">
        <v>4</v>
      </c>
      <c r="V622" s="5">
        <v>43663</v>
      </c>
      <c r="W622" s="5">
        <v>41796</v>
      </c>
      <c r="X622" s="1">
        <v>12750000</v>
      </c>
      <c r="Y622" s="1">
        <v>12750000</v>
      </c>
      <c r="Z622" s="5">
        <v>41800</v>
      </c>
      <c r="AA622" s="1">
        <v>12982688</v>
      </c>
      <c r="AB622" s="1" t="s">
        <v>461</v>
      </c>
      <c r="AC622" s="5">
        <v>42810</v>
      </c>
      <c r="AF622" s="1">
        <v>10007</v>
      </c>
      <c r="AJ622" s="1">
        <v>2016</v>
      </c>
      <c r="AK622" s="1" t="s">
        <v>81</v>
      </c>
      <c r="AL622" s="1">
        <v>157</v>
      </c>
    </row>
    <row r="623" spans="1:38" x14ac:dyDescent="0.2">
      <c r="A623" s="2" t="str">
        <f>HYPERLINK("https://www.compass.com/listing/30-park-place-unit-64b-manhattan-ny-10007/29357586008509937/","30 Park Pl, Unit 64B")</f>
        <v>30 Park Pl, Unit 64B</v>
      </c>
      <c r="B623" s="2" t="str">
        <f t="shared" si="103"/>
        <v>30 Park Pl</v>
      </c>
      <c r="C623" s="1" t="s">
        <v>40</v>
      </c>
      <c r="D623" s="1" t="s">
        <v>41</v>
      </c>
      <c r="E623" s="3">
        <v>8146000</v>
      </c>
      <c r="F623" s="1">
        <v>3096.1611554542001</v>
      </c>
      <c r="G623" s="1">
        <v>5.5</v>
      </c>
      <c r="H623" s="1">
        <v>3</v>
      </c>
      <c r="I623" s="1">
        <v>3</v>
      </c>
      <c r="J623" s="1">
        <v>3.5</v>
      </c>
      <c r="K623" s="1">
        <v>3</v>
      </c>
      <c r="L623" s="1">
        <v>1</v>
      </c>
      <c r="M623" s="4">
        <v>2631</v>
      </c>
      <c r="N623" s="1">
        <v>2180</v>
      </c>
      <c r="O623" s="1">
        <v>7736</v>
      </c>
      <c r="P623" s="1">
        <v>5556</v>
      </c>
      <c r="Q623" s="1" t="s">
        <v>42</v>
      </c>
      <c r="S623" s="1" t="s">
        <v>42</v>
      </c>
      <c r="T623" s="1" t="s">
        <v>203</v>
      </c>
      <c r="U623" s="1">
        <v>21</v>
      </c>
      <c r="V623" s="5">
        <v>43663</v>
      </c>
      <c r="W623" s="5">
        <v>41814</v>
      </c>
      <c r="X623" s="1">
        <v>8000000</v>
      </c>
      <c r="Y623" s="1">
        <v>8000000</v>
      </c>
      <c r="Z623" s="5">
        <v>41835</v>
      </c>
      <c r="AA623" s="1">
        <v>8146000</v>
      </c>
      <c r="AB623" s="1" t="s">
        <v>462</v>
      </c>
      <c r="AC623" s="5">
        <v>42814</v>
      </c>
      <c r="AF623" s="1">
        <v>10007</v>
      </c>
      <c r="AJ623" s="1">
        <v>2016</v>
      </c>
      <c r="AK623" s="1" t="s">
        <v>81</v>
      </c>
      <c r="AL623" s="1">
        <v>157</v>
      </c>
    </row>
    <row r="624" spans="1:38" x14ac:dyDescent="0.2">
      <c r="A624" s="2" t="str">
        <f>HYPERLINK("https://www.compass.com/listing/30-park-place-unit-66a-manhattan-ny-10007/29357587803675281/","30 Park Pl, Unit 66A")</f>
        <v>30 Park Pl, Unit 66A</v>
      </c>
      <c r="B624" s="2" t="str">
        <f t="shared" si="103"/>
        <v>30 Park Pl</v>
      </c>
      <c r="C624" s="1" t="s">
        <v>40</v>
      </c>
      <c r="D624" s="1" t="s">
        <v>41</v>
      </c>
      <c r="E624" s="3">
        <v>13186338</v>
      </c>
      <c r="F624" s="1">
        <v>3564.8386050283798</v>
      </c>
      <c r="G624" s="1">
        <v>7.5</v>
      </c>
      <c r="H624" s="1">
        <v>4</v>
      </c>
      <c r="I624" s="1">
        <v>5</v>
      </c>
      <c r="J624" s="1">
        <v>5.5</v>
      </c>
      <c r="K624" s="1">
        <v>5</v>
      </c>
      <c r="L624" s="1">
        <v>1</v>
      </c>
      <c r="M624" s="4">
        <v>3699</v>
      </c>
      <c r="N624" s="1">
        <v>3154</v>
      </c>
      <c r="O624" s="1">
        <v>11194</v>
      </c>
      <c r="P624" s="1">
        <v>8040</v>
      </c>
      <c r="Q624" s="1" t="s">
        <v>42</v>
      </c>
      <c r="S624" s="1" t="s">
        <v>42</v>
      </c>
      <c r="T624" s="1" t="s">
        <v>203</v>
      </c>
      <c r="U624" s="1">
        <v>177</v>
      </c>
      <c r="V624" s="5">
        <v>43664</v>
      </c>
      <c r="W624" s="5">
        <v>41815</v>
      </c>
      <c r="X624" s="1">
        <v>12950000</v>
      </c>
      <c r="Y624" s="1">
        <v>12950000</v>
      </c>
      <c r="Z624" s="5">
        <v>41992</v>
      </c>
      <c r="AA624" s="1">
        <v>13186338</v>
      </c>
      <c r="AB624" s="1" t="s">
        <v>463</v>
      </c>
      <c r="AC624" s="5">
        <v>42840</v>
      </c>
      <c r="AF624" s="1">
        <v>10007</v>
      </c>
      <c r="AJ624" s="1">
        <v>2016</v>
      </c>
      <c r="AK624" s="1" t="s">
        <v>81</v>
      </c>
      <c r="AL624" s="1">
        <v>157</v>
      </c>
    </row>
    <row r="625" spans="1:38" x14ac:dyDescent="0.2">
      <c r="A625" s="2" t="str">
        <f>HYPERLINK("https://www.compass.com/listing/30-park-place-unit-68b-manhattan-ny-10007/29357589816941233/","30 Park Pl, Unit 68B")</f>
        <v>30 Park Pl, Unit 68B</v>
      </c>
      <c r="B625" s="2" t="str">
        <f t="shared" si="103"/>
        <v>30 Park Pl</v>
      </c>
      <c r="C625" s="1" t="s">
        <v>40</v>
      </c>
      <c r="D625" s="1" t="s">
        <v>41</v>
      </c>
      <c r="E625" s="3">
        <v>8349650</v>
      </c>
      <c r="F625" s="1">
        <v>3173.5651843405499</v>
      </c>
      <c r="G625" s="1">
        <v>5.5</v>
      </c>
      <c r="H625" s="1">
        <v>3</v>
      </c>
      <c r="I625" s="1">
        <v>3</v>
      </c>
      <c r="J625" s="1">
        <v>3.5</v>
      </c>
      <c r="K625" s="1">
        <v>3</v>
      </c>
      <c r="L625" s="1">
        <v>1</v>
      </c>
      <c r="M625" s="4">
        <v>2631</v>
      </c>
      <c r="N625" s="1">
        <v>2190</v>
      </c>
      <c r="O625" s="1">
        <v>7773</v>
      </c>
      <c r="P625" s="1">
        <v>5583</v>
      </c>
      <c r="Q625" s="1" t="s">
        <v>42</v>
      </c>
      <c r="S625" s="1" t="s">
        <v>42</v>
      </c>
      <c r="T625" s="1" t="s">
        <v>203</v>
      </c>
      <c r="U625" s="1">
        <v>8</v>
      </c>
      <c r="V625" s="5">
        <v>43664</v>
      </c>
      <c r="W625" s="5">
        <v>41892</v>
      </c>
      <c r="X625" s="1">
        <v>8300000</v>
      </c>
      <c r="Y625" s="1">
        <v>8200000</v>
      </c>
      <c r="Z625" s="5">
        <v>41900</v>
      </c>
      <c r="AA625" s="1">
        <v>8349650</v>
      </c>
      <c r="AB625" s="1" t="s">
        <v>464</v>
      </c>
      <c r="AC625" s="5">
        <v>42877</v>
      </c>
      <c r="AF625" s="1">
        <v>10007</v>
      </c>
      <c r="AJ625" s="1">
        <v>2016</v>
      </c>
      <c r="AK625" s="1" t="s">
        <v>81</v>
      </c>
      <c r="AL625" s="1">
        <v>157</v>
      </c>
    </row>
    <row r="626" spans="1:38" x14ac:dyDescent="0.2">
      <c r="A626" s="2" t="str">
        <f>HYPERLINK("https://www.compass.com/listing/30-park-place-unit-73b-manhattan-ny-10007/29357593608687041/","30 Park Pl, Unit 73B")</f>
        <v>30 Park Pl, Unit 73B</v>
      </c>
      <c r="B626" s="2" t="str">
        <f t="shared" si="103"/>
        <v>30 Park Pl</v>
      </c>
      <c r="C626" s="1" t="s">
        <v>40</v>
      </c>
      <c r="D626" s="1" t="s">
        <v>41</v>
      </c>
      <c r="E626" s="3">
        <v>8075000</v>
      </c>
      <c r="F626" s="1">
        <v>3069.17521854808</v>
      </c>
      <c r="G626" s="1">
        <v>5</v>
      </c>
      <c r="H626" s="1">
        <v>3</v>
      </c>
      <c r="I626" s="1">
        <v>3</v>
      </c>
      <c r="J626" s="1">
        <v>3.5</v>
      </c>
      <c r="K626" s="1">
        <v>3</v>
      </c>
      <c r="L626" s="1">
        <v>1</v>
      </c>
      <c r="M626" s="4">
        <v>2631</v>
      </c>
      <c r="N626" s="1">
        <v>2204</v>
      </c>
      <c r="O626" s="1">
        <v>7821</v>
      </c>
      <c r="P626" s="1">
        <v>5617</v>
      </c>
      <c r="Q626" s="1" t="s">
        <v>42</v>
      </c>
      <c r="S626" s="1" t="s">
        <v>42</v>
      </c>
      <c r="T626" s="1" t="s">
        <v>203</v>
      </c>
      <c r="U626" s="1">
        <v>18</v>
      </c>
      <c r="V626" s="5">
        <v>43649</v>
      </c>
      <c r="W626" s="5">
        <v>43163</v>
      </c>
      <c r="X626" s="1">
        <v>8800000</v>
      </c>
      <c r="Y626" s="1">
        <v>8075000</v>
      </c>
      <c r="Z626" s="5">
        <v>43181</v>
      </c>
      <c r="AA626" s="1">
        <v>8075000</v>
      </c>
      <c r="AB626" s="1" t="s">
        <v>465</v>
      </c>
      <c r="AC626" s="5">
        <v>43194</v>
      </c>
      <c r="AF626" s="1">
        <v>10007</v>
      </c>
      <c r="AJ626" s="1">
        <v>2016</v>
      </c>
      <c r="AK626" s="1" t="s">
        <v>81</v>
      </c>
      <c r="AL626" s="1">
        <v>157</v>
      </c>
    </row>
    <row r="627" spans="1:38" x14ac:dyDescent="0.2">
      <c r="A627" s="2" t="str">
        <f>HYPERLINK("https://www.compass.com/listing/30-park-place-unit-76b-manhattan-ny-10007/29512134283002881/","30 Park Pl, Unit 76B")</f>
        <v>30 Park Pl, Unit 76B</v>
      </c>
      <c r="B627" s="2" t="str">
        <f t="shared" si="103"/>
        <v>30 Park Pl</v>
      </c>
      <c r="C627" s="1" t="s">
        <v>40</v>
      </c>
      <c r="D627" s="1" t="s">
        <v>41</v>
      </c>
      <c r="E627" s="3">
        <v>13720919</v>
      </c>
      <c r="F627" s="1">
        <v>4324.2732429876996</v>
      </c>
      <c r="G627" s="1">
        <v>6.5</v>
      </c>
      <c r="H627" s="1">
        <v>3</v>
      </c>
      <c r="I627" s="1">
        <v>4</v>
      </c>
      <c r="J627" s="1">
        <v>4.5</v>
      </c>
      <c r="K627" s="1">
        <v>4</v>
      </c>
      <c r="L627" s="1">
        <v>1</v>
      </c>
      <c r="M627" s="4">
        <v>3173</v>
      </c>
      <c r="N627" s="1">
        <v>2796</v>
      </c>
      <c r="O627" s="1">
        <v>9923</v>
      </c>
      <c r="P627" s="1">
        <v>7127</v>
      </c>
      <c r="Q627" s="1" t="s">
        <v>42</v>
      </c>
      <c r="S627" s="1" t="s">
        <v>42</v>
      </c>
      <c r="T627" s="1" t="s">
        <v>203</v>
      </c>
      <c r="U627" s="1">
        <v>28</v>
      </c>
      <c r="V627" s="5">
        <v>43664</v>
      </c>
      <c r="W627" s="5">
        <v>41879</v>
      </c>
      <c r="X627" s="1">
        <v>13475000</v>
      </c>
      <c r="Y627" s="1">
        <v>13475000</v>
      </c>
      <c r="Z627" s="5">
        <v>41907</v>
      </c>
      <c r="AA627" s="1">
        <v>13720919</v>
      </c>
      <c r="AB627" s="1" t="s">
        <v>466</v>
      </c>
      <c r="AC627" s="5">
        <v>42819</v>
      </c>
      <c r="AF627" s="1">
        <v>10007</v>
      </c>
      <c r="AI627" s="1" t="s">
        <v>98</v>
      </c>
      <c r="AJ627" s="1">
        <v>2016</v>
      </c>
      <c r="AK627" s="1" t="s">
        <v>81</v>
      </c>
      <c r="AL627" s="1">
        <v>157</v>
      </c>
    </row>
    <row r="628" spans="1:38" x14ac:dyDescent="0.2">
      <c r="A628" s="2" t="str">
        <f>HYPERLINK("https://www.compass.com/listing/30-park-place-unit-ph82-manhattan-ny-10007/29512134937389905/","30 Park Pl, Unit PH82")</f>
        <v>30 Park Pl, Unit PH82</v>
      </c>
      <c r="B628" s="2" t="str">
        <f t="shared" si="103"/>
        <v>30 Park Pl</v>
      </c>
      <c r="C628" s="1" t="s">
        <v>40</v>
      </c>
      <c r="D628" s="1" t="s">
        <v>41</v>
      </c>
      <c r="E628" s="3">
        <v>18500000</v>
      </c>
      <c r="F628" s="1">
        <v>4076.6857646540302</v>
      </c>
      <c r="G628" s="1">
        <v>7.5</v>
      </c>
      <c r="H628" s="1">
        <v>3</v>
      </c>
      <c r="I628" s="1">
        <v>5</v>
      </c>
      <c r="J628" s="1">
        <v>4.5</v>
      </c>
      <c r="K628" s="1">
        <v>4</v>
      </c>
      <c r="L628" s="1">
        <v>1</v>
      </c>
      <c r="M628" s="4">
        <v>4538</v>
      </c>
      <c r="N628" s="1">
        <v>5108</v>
      </c>
      <c r="O628" s="1">
        <v>17792</v>
      </c>
      <c r="P628" s="1">
        <v>12684</v>
      </c>
      <c r="Q628" s="1" t="s">
        <v>42</v>
      </c>
      <c r="S628" s="1" t="s">
        <v>42</v>
      </c>
      <c r="T628" s="1" t="s">
        <v>203</v>
      </c>
      <c r="U628" s="1">
        <v>606</v>
      </c>
      <c r="V628" s="5">
        <v>44350</v>
      </c>
      <c r="W628" s="5">
        <v>43607</v>
      </c>
      <c r="Y628" s="1">
        <v>25000000</v>
      </c>
      <c r="Z628" s="5">
        <v>44308</v>
      </c>
      <c r="AA628" s="1">
        <v>18500000</v>
      </c>
      <c r="AB628" s="1" t="s">
        <v>467</v>
      </c>
      <c r="AC628" s="5">
        <v>44342</v>
      </c>
      <c r="AF628" s="1">
        <v>10007</v>
      </c>
      <c r="AI628" s="1" t="s">
        <v>93</v>
      </c>
      <c r="AJ628" s="1">
        <v>2016</v>
      </c>
      <c r="AK628" s="1" t="s">
        <v>81</v>
      </c>
      <c r="AL628" s="1">
        <v>157</v>
      </c>
    </row>
    <row r="629" spans="1:38" x14ac:dyDescent="0.2">
      <c r="A629" s="2" t="str">
        <f>HYPERLINK("https://www.compass.com/listing/34-west-17th-street-unit-3-manhattan-ny-10011/29374426281789233/","34 W 17th St, Unit 3")</f>
        <v>34 W 17th St, Unit 3</v>
      </c>
      <c r="B629" s="2" t="str">
        <f t="shared" ref="B629:B630" si="104">HYPERLINK("https://www.compass.com/building/the-paperbox-building-manhattan-ny/281909156036761877/","The Paperbox Building")</f>
        <v>The Paperbox Building</v>
      </c>
      <c r="C629" s="1" t="s">
        <v>358</v>
      </c>
      <c r="D629" s="1" t="s">
        <v>41</v>
      </c>
      <c r="E629" s="3">
        <v>3871896</v>
      </c>
      <c r="F629" s="1">
        <v>1718.5512649800201</v>
      </c>
      <c r="G629" s="1">
        <v>7</v>
      </c>
      <c r="H629" s="1">
        <v>3</v>
      </c>
      <c r="I629" s="1">
        <v>3</v>
      </c>
      <c r="J629" s="1">
        <v>3</v>
      </c>
      <c r="M629" s="4">
        <v>2253</v>
      </c>
      <c r="N629" s="1">
        <v>1791</v>
      </c>
      <c r="O629" s="1">
        <v>4255</v>
      </c>
      <c r="P629" s="1">
        <v>2464</v>
      </c>
      <c r="Q629" s="1" t="s">
        <v>42</v>
      </c>
      <c r="S629" s="1" t="s">
        <v>42</v>
      </c>
      <c r="T629" s="1" t="s">
        <v>203</v>
      </c>
      <c r="U629" s="1">
        <v>160</v>
      </c>
      <c r="V629" s="5">
        <v>43664</v>
      </c>
      <c r="W629" s="5">
        <v>42621</v>
      </c>
      <c r="X629" s="1">
        <v>3975000</v>
      </c>
      <c r="Y629" s="1">
        <v>3975000</v>
      </c>
      <c r="Z629" s="5">
        <v>42781</v>
      </c>
      <c r="AA629" s="1">
        <v>3871896</v>
      </c>
      <c r="AB629" s="1" t="s">
        <v>468</v>
      </c>
      <c r="AC629" s="5">
        <v>42859</v>
      </c>
      <c r="AF629" s="1">
        <v>10011</v>
      </c>
      <c r="AJ629" s="1">
        <v>1910</v>
      </c>
      <c r="AK629" s="1" t="s">
        <v>360</v>
      </c>
      <c r="AL629" s="1">
        <v>9</v>
      </c>
    </row>
    <row r="630" spans="1:38" x14ac:dyDescent="0.2">
      <c r="A630" s="2" t="str">
        <f>HYPERLINK("https://www.compass.com/listing/34-west-17th-street-unit-8-manhattan-ny-10011/29374428504769761/","34 W 17th St, Unit 8")</f>
        <v>34 W 17th St, Unit 8</v>
      </c>
      <c r="B630" s="2" t="str">
        <f t="shared" si="104"/>
        <v>The Paperbox Building</v>
      </c>
      <c r="C630" s="1" t="s">
        <v>358</v>
      </c>
      <c r="D630" s="1" t="s">
        <v>41</v>
      </c>
      <c r="E630" s="3">
        <v>4300000</v>
      </c>
      <c r="F630" s="1">
        <v>1907.7196095829599</v>
      </c>
      <c r="G630" s="1">
        <v>7</v>
      </c>
      <c r="H630" s="1">
        <v>3</v>
      </c>
      <c r="I630" s="1">
        <v>3</v>
      </c>
      <c r="J630" s="1">
        <v>3</v>
      </c>
      <c r="M630" s="4">
        <v>2254</v>
      </c>
      <c r="N630" s="1">
        <v>1792</v>
      </c>
      <c r="O630" s="1">
        <v>4257</v>
      </c>
      <c r="P630" s="1">
        <v>2465</v>
      </c>
      <c r="Q630" s="1" t="s">
        <v>42</v>
      </c>
      <c r="S630" s="1" t="s">
        <v>42</v>
      </c>
      <c r="T630" s="1" t="s">
        <v>203</v>
      </c>
      <c r="U630" s="1">
        <v>272</v>
      </c>
      <c r="V630" s="5">
        <v>43650</v>
      </c>
      <c r="W630" s="5">
        <v>42621</v>
      </c>
      <c r="X630" s="1">
        <v>4575000</v>
      </c>
      <c r="Y630" s="1">
        <v>4575000</v>
      </c>
      <c r="Z630" s="5">
        <v>42893</v>
      </c>
      <c r="AA630" s="1">
        <v>4300000</v>
      </c>
      <c r="AB630" s="1" t="s">
        <v>469</v>
      </c>
      <c r="AC630" s="5">
        <v>42957</v>
      </c>
      <c r="AF630" s="1">
        <v>10011</v>
      </c>
      <c r="AJ630" s="1">
        <v>1910</v>
      </c>
      <c r="AK630" s="1" t="s">
        <v>94</v>
      </c>
      <c r="AL630" s="1">
        <v>9</v>
      </c>
    </row>
    <row r="631" spans="1:38" x14ac:dyDescent="0.2">
      <c r="A631" s="2" t="str">
        <f>HYPERLINK("https://www.compass.com/listing/30-park-place-unit-49c-manhattan-ny-10007/29357566991535297/","30 Park Pl, Unit 49C")</f>
        <v>30 Park Pl, Unit 49C</v>
      </c>
      <c r="B631" s="2" t="str">
        <f>HYPERLINK("https://www.compass.com/building/30-park-pl-manhattan-ny-10007/281896912905317605/","30 Park Pl")</f>
        <v>30 Park Pl</v>
      </c>
      <c r="C631" s="1" t="s">
        <v>40</v>
      </c>
      <c r="D631" s="1" t="s">
        <v>41</v>
      </c>
      <c r="E631" s="3">
        <v>3718172</v>
      </c>
      <c r="F631" s="1">
        <v>3355.7509025270701</v>
      </c>
      <c r="G631" s="1">
        <v>3</v>
      </c>
      <c r="H631" s="1">
        <v>1</v>
      </c>
      <c r="I631" s="1">
        <v>1</v>
      </c>
      <c r="J631" s="1">
        <v>1.5</v>
      </c>
      <c r="K631" s="1">
        <v>1</v>
      </c>
      <c r="L631" s="1">
        <v>1</v>
      </c>
      <c r="M631" s="4">
        <v>1108</v>
      </c>
      <c r="N631" s="1">
        <v>887</v>
      </c>
      <c r="O631" s="1">
        <v>3148</v>
      </c>
      <c r="P631" s="1">
        <v>2261</v>
      </c>
      <c r="Q631" s="1" t="s">
        <v>42</v>
      </c>
      <c r="S631" s="1" t="s">
        <v>42</v>
      </c>
      <c r="T631" s="1" t="s">
        <v>203</v>
      </c>
      <c r="V631" s="5">
        <v>43675</v>
      </c>
      <c r="W631" s="5">
        <v>42223</v>
      </c>
      <c r="X631" s="1">
        <v>3605000</v>
      </c>
      <c r="Y631" s="1">
        <v>3605000</v>
      </c>
      <c r="Z631" s="5">
        <v>42223</v>
      </c>
      <c r="AA631" s="1">
        <v>3718172</v>
      </c>
      <c r="AB631" s="1" t="s">
        <v>470</v>
      </c>
      <c r="AC631" s="5">
        <v>42670</v>
      </c>
      <c r="AF631" s="1">
        <v>10007</v>
      </c>
      <c r="AJ631" s="1">
        <v>2016</v>
      </c>
      <c r="AK631" s="1" t="s">
        <v>81</v>
      </c>
      <c r="AL631" s="1">
        <v>157</v>
      </c>
    </row>
    <row r="632" spans="1:38" x14ac:dyDescent="0.2">
      <c r="A632" s="2" t="str">
        <f>HYPERLINK("https://www.compass.com/listing/189-avenue-c-unit-10d-manhattan-ny-10009/29361152517589457/","189 Avenue C, Unit 10D")</f>
        <v>189 Avenue C, Unit 10D</v>
      </c>
      <c r="B632" s="2" t="str">
        <f t="shared" ref="B632:B633" si="105">HYPERLINK("https://www.compass.com/building/the-calyx-manhattan-ny/426959097439640773/","The Calyx")</f>
        <v>The Calyx</v>
      </c>
      <c r="C632" s="1" t="s">
        <v>88</v>
      </c>
      <c r="D632" s="1" t="s">
        <v>41</v>
      </c>
      <c r="E632" s="3">
        <v>770000</v>
      </c>
      <c r="F632" s="1">
        <v>1025.2996005326199</v>
      </c>
      <c r="G632" s="1">
        <v>2</v>
      </c>
      <c r="H632" s="1" t="s">
        <v>77</v>
      </c>
      <c r="I632" s="1">
        <v>1</v>
      </c>
      <c r="J632" s="1">
        <v>1</v>
      </c>
      <c r="K632" s="1">
        <v>1</v>
      </c>
      <c r="M632" s="1">
        <v>751</v>
      </c>
      <c r="N632" s="1">
        <v>717.55</v>
      </c>
      <c r="O632" s="1">
        <v>1386.55</v>
      </c>
      <c r="P632" s="1">
        <v>669</v>
      </c>
      <c r="Q632" s="1" t="s">
        <v>335</v>
      </c>
      <c r="S632" s="1" t="s">
        <v>336</v>
      </c>
      <c r="T632" s="1" t="s">
        <v>203</v>
      </c>
      <c r="U632" s="1">
        <v>59</v>
      </c>
      <c r="V632" s="5">
        <v>43631</v>
      </c>
      <c r="W632" s="5">
        <v>42829</v>
      </c>
      <c r="X632" s="1">
        <v>850000</v>
      </c>
      <c r="Y632" s="1">
        <v>799000</v>
      </c>
      <c r="Z632" s="5">
        <v>42888</v>
      </c>
      <c r="AA632" s="1">
        <v>770000</v>
      </c>
      <c r="AB632" s="1" t="s">
        <v>471</v>
      </c>
      <c r="AC632" s="5">
        <v>42971</v>
      </c>
      <c r="AF632" s="1">
        <v>10009</v>
      </c>
      <c r="AI632" s="1" t="s">
        <v>73</v>
      </c>
      <c r="AJ632" s="1">
        <v>2011</v>
      </c>
      <c r="AK632" s="1" t="s">
        <v>140</v>
      </c>
      <c r="AL632" s="1">
        <v>35</v>
      </c>
    </row>
    <row r="633" spans="1:38" x14ac:dyDescent="0.2">
      <c r="A633" s="2" t="str">
        <f>HYPERLINK("https://www.compass.com/listing/189-avenue-c-unit-6c-manhattan-ny-10009/70919995999156625/","189 Avenue C, Unit 6C")</f>
        <v>189 Avenue C, Unit 6C</v>
      </c>
      <c r="B633" s="2" t="str">
        <f t="shared" si="105"/>
        <v>The Calyx</v>
      </c>
      <c r="C633" s="1" t="s">
        <v>88</v>
      </c>
      <c r="D633" s="1" t="s">
        <v>41</v>
      </c>
      <c r="E633" s="3">
        <v>789144</v>
      </c>
      <c r="F633" s="1">
        <v>1005.27898089171</v>
      </c>
      <c r="G633" s="1">
        <v>2</v>
      </c>
      <c r="H633" s="1" t="s">
        <v>77</v>
      </c>
      <c r="I633" s="1">
        <v>1</v>
      </c>
      <c r="J633" s="1">
        <v>1</v>
      </c>
      <c r="K633" s="1">
        <v>1</v>
      </c>
      <c r="M633" s="1">
        <v>785</v>
      </c>
      <c r="N633" s="1">
        <v>587.12</v>
      </c>
      <c r="O633" s="1">
        <v>1015.24</v>
      </c>
      <c r="P633" s="1">
        <v>428.08333333333297</v>
      </c>
      <c r="Q633" s="1" t="s">
        <v>335</v>
      </c>
      <c r="S633" s="1" t="s">
        <v>336</v>
      </c>
      <c r="T633" s="1" t="s">
        <v>203</v>
      </c>
      <c r="U633" s="1">
        <v>1</v>
      </c>
      <c r="V633" s="5">
        <v>43678</v>
      </c>
      <c r="W633" s="5">
        <v>42441</v>
      </c>
      <c r="X633" s="1">
        <v>775000</v>
      </c>
      <c r="Y633" s="1">
        <v>775000</v>
      </c>
      <c r="Z633" s="5">
        <v>42442</v>
      </c>
      <c r="AA633" s="1">
        <v>789144</v>
      </c>
      <c r="AB633" s="1" t="s">
        <v>472</v>
      </c>
      <c r="AC633" s="5">
        <v>42502</v>
      </c>
      <c r="AF633" s="1">
        <v>10009</v>
      </c>
      <c r="AI633" s="1" t="s">
        <v>73</v>
      </c>
      <c r="AJ633" s="1">
        <v>2011</v>
      </c>
      <c r="AK633" s="1" t="s">
        <v>140</v>
      </c>
      <c r="AL633" s="1">
        <v>35</v>
      </c>
    </row>
    <row r="634" spans="1:38" x14ac:dyDescent="0.2">
      <c r="A634" s="2" t="str">
        <f>HYPERLINK("https://www.compass.com/listing/30-park-place-unit-46b-manhattan-ny-10007/739843654826335025/","30 Park Pl, Unit 46B")</f>
        <v>30 Park Pl, Unit 46B</v>
      </c>
      <c r="B634" s="2" t="str">
        <f t="shared" ref="B634:B636" si="106">HYPERLINK("https://www.compass.com/building/30-park-pl-manhattan-ny-10007/281896912905317605/","30 Park Pl")</f>
        <v>30 Park Pl</v>
      </c>
      <c r="C634" s="1" t="s">
        <v>40</v>
      </c>
      <c r="D634" s="1" t="s">
        <v>41</v>
      </c>
      <c r="E634" s="3">
        <v>5112500</v>
      </c>
      <c r="F634" s="1">
        <v>3072.4158653846098</v>
      </c>
      <c r="G634" s="1">
        <v>4</v>
      </c>
      <c r="H634" s="1">
        <v>2</v>
      </c>
      <c r="I634" s="1">
        <v>3</v>
      </c>
      <c r="J634" s="1">
        <v>2.5</v>
      </c>
      <c r="K634" s="1">
        <v>2</v>
      </c>
      <c r="L634" s="1">
        <v>1</v>
      </c>
      <c r="M634" s="4">
        <v>1664</v>
      </c>
      <c r="N634" s="1">
        <v>1441</v>
      </c>
      <c r="O634" s="1">
        <v>4311</v>
      </c>
      <c r="P634" s="1">
        <v>2870</v>
      </c>
      <c r="Q634" s="1" t="s">
        <v>42</v>
      </c>
      <c r="S634" s="1" t="s">
        <v>42</v>
      </c>
      <c r="T634" s="1" t="s">
        <v>203</v>
      </c>
      <c r="U634" s="1">
        <v>58</v>
      </c>
      <c r="V634" s="5">
        <v>44379</v>
      </c>
      <c r="W634" s="5">
        <v>44273</v>
      </c>
      <c r="X634" s="1">
        <v>5200000</v>
      </c>
      <c r="Y634" s="1">
        <v>5200000</v>
      </c>
      <c r="Z634" s="5">
        <v>44331</v>
      </c>
      <c r="AA634" s="1">
        <v>5112500</v>
      </c>
      <c r="AB634" s="1" t="s">
        <v>473</v>
      </c>
      <c r="AC634" s="5">
        <v>44376</v>
      </c>
      <c r="AF634" s="1">
        <v>10007</v>
      </c>
      <c r="AJ634" s="1">
        <v>2016</v>
      </c>
      <c r="AK634" s="1" t="s">
        <v>81</v>
      </c>
      <c r="AL634" s="1">
        <v>157</v>
      </c>
    </row>
    <row r="635" spans="1:38" x14ac:dyDescent="0.2">
      <c r="A635" s="2" t="str">
        <f>HYPERLINK("https://www.compass.com/listing/30-park-place-unit-40e-manhattan-ny-10007/29357555155209185/","30 Park Pl, Unit 40E")</f>
        <v>30 Park Pl, Unit 40E</v>
      </c>
      <c r="B635" s="2" t="str">
        <f t="shared" si="106"/>
        <v>30 Park Pl</v>
      </c>
      <c r="C635" s="1" t="s">
        <v>40</v>
      </c>
      <c r="D635" s="1" t="s">
        <v>41</v>
      </c>
      <c r="E635" s="3">
        <v>4582125</v>
      </c>
      <c r="F635" s="1">
        <v>2554.1387959866202</v>
      </c>
      <c r="G635" s="1">
        <v>5</v>
      </c>
      <c r="H635" s="1">
        <v>3</v>
      </c>
      <c r="I635" s="1">
        <v>2</v>
      </c>
      <c r="J635" s="1">
        <v>2</v>
      </c>
      <c r="K635" s="1">
        <v>2</v>
      </c>
      <c r="M635" s="4">
        <v>1794</v>
      </c>
      <c r="N635" s="1">
        <v>1436</v>
      </c>
      <c r="O635" s="1">
        <v>5097</v>
      </c>
      <c r="P635" s="1">
        <v>3661</v>
      </c>
      <c r="Q635" s="1" t="s">
        <v>42</v>
      </c>
      <c r="S635" s="1" t="s">
        <v>42</v>
      </c>
      <c r="T635" s="1" t="s">
        <v>203</v>
      </c>
      <c r="U635" s="1">
        <v>21</v>
      </c>
      <c r="V635" s="5">
        <v>43673</v>
      </c>
      <c r="W635" s="5">
        <v>41814</v>
      </c>
      <c r="X635" s="1">
        <v>4750000</v>
      </c>
      <c r="Y635" s="1">
        <v>4750000</v>
      </c>
      <c r="Z635" s="5">
        <v>41835</v>
      </c>
      <c r="AA635" s="1">
        <v>4582125</v>
      </c>
      <c r="AB635" s="1" t="s">
        <v>474</v>
      </c>
      <c r="AC635" s="5">
        <v>42586</v>
      </c>
      <c r="AF635" s="1">
        <v>10007</v>
      </c>
      <c r="AJ635" s="1">
        <v>2016</v>
      </c>
      <c r="AK635" s="1" t="s">
        <v>81</v>
      </c>
      <c r="AL635" s="1">
        <v>157</v>
      </c>
    </row>
    <row r="636" spans="1:38" x14ac:dyDescent="0.2">
      <c r="A636" s="2" t="str">
        <f>HYPERLINK("https://www.compass.com/listing/30-park-place-unit-52d-manhattan-ny-10007/29357571001289985/","30 Park Pl, Unit 52D")</f>
        <v>30 Park Pl, Unit 52D</v>
      </c>
      <c r="B636" s="2" t="str">
        <f t="shared" si="106"/>
        <v>30 Park Pl</v>
      </c>
      <c r="C636" s="1" t="s">
        <v>40</v>
      </c>
      <c r="D636" s="1" t="s">
        <v>41</v>
      </c>
      <c r="E636" s="3">
        <v>4459935</v>
      </c>
      <c r="F636" s="1">
        <v>2899.8276983094902</v>
      </c>
      <c r="G636" s="1">
        <v>4</v>
      </c>
      <c r="H636" s="1">
        <v>2</v>
      </c>
      <c r="I636" s="1">
        <v>2</v>
      </c>
      <c r="J636" s="1">
        <v>2.5</v>
      </c>
      <c r="K636" s="1">
        <v>2</v>
      </c>
      <c r="L636" s="1">
        <v>1</v>
      </c>
      <c r="M636" s="4">
        <v>1538</v>
      </c>
      <c r="N636" s="1">
        <v>1249</v>
      </c>
      <c r="O636" s="1">
        <v>4433</v>
      </c>
      <c r="P636" s="1">
        <v>3184</v>
      </c>
      <c r="Q636" s="1" t="s">
        <v>42</v>
      </c>
      <c r="S636" s="1" t="s">
        <v>42</v>
      </c>
      <c r="T636" s="1" t="s">
        <v>203</v>
      </c>
      <c r="U636" s="1">
        <v>135</v>
      </c>
      <c r="V636" s="5">
        <v>43662</v>
      </c>
      <c r="W636" s="5">
        <v>42647</v>
      </c>
      <c r="X636" s="1">
        <v>4925000</v>
      </c>
      <c r="Y636" s="1">
        <v>4380000</v>
      </c>
      <c r="Z636" s="5">
        <v>42782</v>
      </c>
      <c r="AA636" s="1">
        <v>4459935</v>
      </c>
      <c r="AB636" s="1" t="s">
        <v>475</v>
      </c>
      <c r="AC636" s="5">
        <v>42835</v>
      </c>
      <c r="AF636" s="1">
        <v>10007</v>
      </c>
      <c r="AJ636" s="1">
        <v>2016</v>
      </c>
      <c r="AK636" s="1" t="s">
        <v>81</v>
      </c>
      <c r="AL636" s="1">
        <v>157</v>
      </c>
    </row>
    <row r="637" spans="1:38" x14ac:dyDescent="0.2">
      <c r="A637" s="2" t="str">
        <f>HYPERLINK("https://www.compass.com/listing/146-church-street-unit-3-manhattan-ny-10007/252864643851110609/","146 Church St, Unit 3")</f>
        <v>146 Church St, Unit 3</v>
      </c>
      <c r="B637" s="2" t="str">
        <f>HYPERLINK("https://www.compass.com/building/rogue-manhattan-ny/282060065869954789/","Rogue")</f>
        <v>Rogue</v>
      </c>
      <c r="C637" s="1" t="s">
        <v>40</v>
      </c>
      <c r="D637" s="1" t="s">
        <v>41</v>
      </c>
      <c r="E637" s="3">
        <v>2622600</v>
      </c>
      <c r="F637" s="1">
        <v>1423.77850162866</v>
      </c>
      <c r="G637" s="1">
        <v>5</v>
      </c>
      <c r="H637" s="1">
        <v>3</v>
      </c>
      <c r="I637" s="1">
        <v>2</v>
      </c>
      <c r="J637" s="1">
        <v>2</v>
      </c>
      <c r="K637" s="1">
        <v>2</v>
      </c>
      <c r="M637" s="4">
        <v>1842</v>
      </c>
      <c r="N637" s="1">
        <v>2194</v>
      </c>
      <c r="O637" s="1">
        <v>3449</v>
      </c>
      <c r="P637" s="1">
        <v>1255</v>
      </c>
      <c r="Q637" s="1" t="s">
        <v>42</v>
      </c>
      <c r="S637" s="1" t="s">
        <v>42</v>
      </c>
      <c r="T637" s="1" t="s">
        <v>203</v>
      </c>
      <c r="V637" s="5">
        <v>44218</v>
      </c>
      <c r="W637" s="5">
        <v>44120</v>
      </c>
      <c r="Y637" s="1">
        <v>3095000</v>
      </c>
      <c r="Z637" s="5">
        <v>44121</v>
      </c>
      <c r="AA637" s="1">
        <v>2622600</v>
      </c>
      <c r="AB637" s="1" t="s">
        <v>476</v>
      </c>
      <c r="AC637" s="5">
        <v>44203</v>
      </c>
      <c r="AF637" s="1">
        <v>10007</v>
      </c>
      <c r="AI637" s="1" t="s">
        <v>221</v>
      </c>
      <c r="AJ637" s="1">
        <v>2019</v>
      </c>
      <c r="AK637" s="1" t="s">
        <v>50</v>
      </c>
      <c r="AL637" s="1">
        <v>8</v>
      </c>
    </row>
    <row r="638" spans="1:38" x14ac:dyDescent="0.2">
      <c r="A638" s="2" t="str">
        <f>HYPERLINK("https://www.compass.com/listing/34-west-17th-street-unit-9-manhattan-ny-10011/29374428907423569/","34 W 17th St, Unit 9")</f>
        <v>34 W 17th St, Unit 9</v>
      </c>
      <c r="B638" s="2" t="str">
        <f t="shared" ref="B638:B639" si="107">HYPERLINK("https://www.compass.com/building/the-paperbox-building-manhattan-ny/281909156036761877/","The Paperbox Building")</f>
        <v>The Paperbox Building</v>
      </c>
      <c r="C638" s="1" t="s">
        <v>358</v>
      </c>
      <c r="D638" s="1" t="s">
        <v>41</v>
      </c>
      <c r="E638" s="3">
        <v>4350000</v>
      </c>
      <c r="F638" s="1">
        <v>1949.7982967279199</v>
      </c>
      <c r="G638" s="1">
        <v>7</v>
      </c>
      <c r="H638" s="1">
        <v>3</v>
      </c>
      <c r="I638" s="1">
        <v>3</v>
      </c>
      <c r="J638" s="1">
        <v>3</v>
      </c>
      <c r="M638" s="4">
        <v>2231</v>
      </c>
      <c r="N638" s="1">
        <v>1774</v>
      </c>
      <c r="O638" s="1">
        <v>4214</v>
      </c>
      <c r="P638" s="1">
        <v>2440</v>
      </c>
      <c r="Q638" s="1" t="s">
        <v>42</v>
      </c>
      <c r="S638" s="1" t="s">
        <v>42</v>
      </c>
      <c r="T638" s="1" t="s">
        <v>203</v>
      </c>
      <c r="U638" s="1">
        <v>212</v>
      </c>
      <c r="V638" s="5">
        <v>43650</v>
      </c>
      <c r="W638" s="5">
        <v>42712</v>
      </c>
      <c r="X638" s="1">
        <v>4695000</v>
      </c>
      <c r="Y638" s="1">
        <v>4695000</v>
      </c>
      <c r="Z638" s="5">
        <v>42924</v>
      </c>
      <c r="AA638" s="1">
        <v>4350000</v>
      </c>
      <c r="AB638" s="1" t="s">
        <v>477</v>
      </c>
      <c r="AC638" s="5">
        <v>42978</v>
      </c>
      <c r="AF638" s="1">
        <v>10011</v>
      </c>
      <c r="AJ638" s="1">
        <v>1910</v>
      </c>
      <c r="AK638" s="1" t="s">
        <v>94</v>
      </c>
      <c r="AL638" s="1">
        <v>9</v>
      </c>
    </row>
    <row r="639" spans="1:38" x14ac:dyDescent="0.2">
      <c r="A639" s="2" t="str">
        <f>HYPERLINK("https://www.compass.com/listing/34-west-17th-street-unit-ph-manhattan-ny-10011/4852308078965570865/","34 W 17th St, Unit PH")</f>
        <v>34 W 17th St, Unit PH</v>
      </c>
      <c r="B639" s="2" t="str">
        <f t="shared" si="107"/>
        <v>The Paperbox Building</v>
      </c>
      <c r="C639" s="1" t="s">
        <v>358</v>
      </c>
      <c r="D639" s="1" t="s">
        <v>41</v>
      </c>
      <c r="E639" s="3">
        <v>5375000</v>
      </c>
      <c r="F639" s="1">
        <v>2311.8279569892402</v>
      </c>
      <c r="G639" s="1">
        <v>7</v>
      </c>
      <c r="H639" s="1">
        <v>3</v>
      </c>
      <c r="I639" s="1">
        <v>3</v>
      </c>
      <c r="J639" s="1">
        <v>2.5</v>
      </c>
      <c r="M639" s="4">
        <v>2325</v>
      </c>
      <c r="N639" s="1">
        <v>1849</v>
      </c>
      <c r="O639" s="1">
        <v>4392</v>
      </c>
      <c r="P639" s="1">
        <v>2543</v>
      </c>
      <c r="Q639" s="1" t="s">
        <v>42</v>
      </c>
      <c r="S639" s="1" t="s">
        <v>42</v>
      </c>
      <c r="T639" s="1" t="s">
        <v>203</v>
      </c>
      <c r="U639" s="1">
        <v>65</v>
      </c>
      <c r="V639" s="5">
        <v>43664</v>
      </c>
      <c r="W639" s="5">
        <v>42621</v>
      </c>
      <c r="X639" s="1">
        <v>5550000</v>
      </c>
      <c r="Y639" s="1">
        <v>5550000</v>
      </c>
      <c r="Z639" s="5">
        <v>42686</v>
      </c>
      <c r="AA639" s="1">
        <v>5375000</v>
      </c>
      <c r="AB639" s="1" t="s">
        <v>204</v>
      </c>
      <c r="AC639" s="5">
        <v>42839</v>
      </c>
      <c r="AF639" s="1">
        <v>10011</v>
      </c>
      <c r="AI639" s="1" t="s">
        <v>93</v>
      </c>
      <c r="AJ639" s="1">
        <v>1910</v>
      </c>
      <c r="AK639" s="1" t="s">
        <v>360</v>
      </c>
      <c r="AL639" s="1">
        <v>9</v>
      </c>
    </row>
    <row r="640" spans="1:38" x14ac:dyDescent="0.2">
      <c r="A640" s="2" t="str">
        <f>HYPERLINK("https://www.compass.com/listing/30-park-place-unit-41a-manhattan-ny-10007/29357555474074465/","30 Park Pl, Unit 41A")</f>
        <v>30 Park Pl, Unit 41A</v>
      </c>
      <c r="B640" s="2" t="str">
        <f t="shared" ref="B640:B656" si="108">HYPERLINK("https://www.compass.com/building/30-park-pl-manhattan-ny-10007/281896912905317605/","30 Park Pl")</f>
        <v>30 Park Pl</v>
      </c>
      <c r="C640" s="1" t="s">
        <v>40</v>
      </c>
      <c r="D640" s="1" t="s">
        <v>41</v>
      </c>
      <c r="E640" s="3">
        <v>6336038</v>
      </c>
      <c r="F640" s="1">
        <v>2855.3573681838602</v>
      </c>
      <c r="G640" s="1">
        <v>5.5</v>
      </c>
      <c r="H640" s="1">
        <v>3</v>
      </c>
      <c r="I640" s="1">
        <v>3</v>
      </c>
      <c r="J640" s="1">
        <v>3</v>
      </c>
      <c r="K640" s="1">
        <v>3</v>
      </c>
      <c r="M640" s="4">
        <v>2219</v>
      </c>
      <c r="N640" s="1">
        <v>1799</v>
      </c>
      <c r="O640" s="1">
        <v>6386</v>
      </c>
      <c r="P640" s="1">
        <v>4587</v>
      </c>
      <c r="Q640" s="1" t="s">
        <v>345</v>
      </c>
      <c r="S640" s="1" t="s">
        <v>345</v>
      </c>
      <c r="T640" s="1" t="s">
        <v>203</v>
      </c>
      <c r="U640" s="1">
        <v>8</v>
      </c>
      <c r="V640" s="5">
        <v>43673</v>
      </c>
      <c r="W640" s="5">
        <v>41838</v>
      </c>
      <c r="X640" s="1">
        <v>6900000</v>
      </c>
      <c r="Y640" s="1">
        <v>6150000</v>
      </c>
      <c r="Z640" s="5">
        <v>41846</v>
      </c>
      <c r="AA640" s="1">
        <v>6336038</v>
      </c>
      <c r="AB640" s="1" t="s">
        <v>478</v>
      </c>
      <c r="AC640" s="5">
        <v>42605</v>
      </c>
      <c r="AF640" s="1">
        <v>10007</v>
      </c>
      <c r="AJ640" s="1">
        <v>2016</v>
      </c>
      <c r="AK640" s="1" t="s">
        <v>81</v>
      </c>
      <c r="AL640" s="1">
        <v>157</v>
      </c>
    </row>
    <row r="641" spans="1:38" x14ac:dyDescent="0.2">
      <c r="A641" s="2" t="str">
        <f>HYPERLINK("https://www.compass.com/listing/30-park-place-unit-42a-manhattan-ny-10007/29357556799379569/","30 Park Pl, Unit 42A")</f>
        <v>30 Park Pl, Unit 42A</v>
      </c>
      <c r="B641" s="2" t="str">
        <f t="shared" si="108"/>
        <v>30 Park Pl</v>
      </c>
      <c r="C641" s="1" t="s">
        <v>40</v>
      </c>
      <c r="D641" s="1" t="s">
        <v>41</v>
      </c>
      <c r="E641" s="3">
        <v>6313150</v>
      </c>
      <c r="F641" s="1">
        <v>2845.04281207751</v>
      </c>
      <c r="G641" s="1">
        <v>5.5</v>
      </c>
      <c r="H641" s="1">
        <v>3</v>
      </c>
      <c r="I641" s="1">
        <v>3</v>
      </c>
      <c r="J641" s="1">
        <v>3</v>
      </c>
      <c r="K641" s="1">
        <v>3</v>
      </c>
      <c r="M641" s="4">
        <v>2219</v>
      </c>
      <c r="N641" s="1">
        <v>1802</v>
      </c>
      <c r="O641" s="1">
        <v>6395</v>
      </c>
      <c r="P641" s="1">
        <v>4593</v>
      </c>
      <c r="Q641" s="1" t="s">
        <v>42</v>
      </c>
      <c r="S641" s="1" t="s">
        <v>42</v>
      </c>
      <c r="T641" s="1" t="s">
        <v>203</v>
      </c>
      <c r="U641" s="1">
        <v>4</v>
      </c>
      <c r="V641" s="5">
        <v>43665</v>
      </c>
      <c r="W641" s="5">
        <v>41796</v>
      </c>
      <c r="X641" s="1">
        <v>6800000</v>
      </c>
      <c r="Y641" s="1">
        <v>6950000</v>
      </c>
      <c r="Z641" s="5">
        <v>41800</v>
      </c>
      <c r="AA641" s="1">
        <v>6313150</v>
      </c>
      <c r="AB641" s="1" t="s">
        <v>479</v>
      </c>
      <c r="AC641" s="5">
        <v>42577</v>
      </c>
      <c r="AF641" s="1">
        <v>10007</v>
      </c>
      <c r="AJ641" s="1">
        <v>2016</v>
      </c>
      <c r="AK641" s="1" t="s">
        <v>81</v>
      </c>
      <c r="AL641" s="1">
        <v>157</v>
      </c>
    </row>
    <row r="642" spans="1:38" x14ac:dyDescent="0.2">
      <c r="A642" s="2" t="str">
        <f>HYPERLINK("https://www.compass.com/listing/30-park-place-unit-47a-manhattan-ny-10007/29357563719981281/","30 Park Pl, Unit 47A")</f>
        <v>30 Park Pl, Unit 47A</v>
      </c>
      <c r="B642" s="2" t="str">
        <f t="shared" si="108"/>
        <v>30 Park Pl</v>
      </c>
      <c r="C642" s="1" t="s">
        <v>40</v>
      </c>
      <c r="D642" s="1" t="s">
        <v>41</v>
      </c>
      <c r="E642" s="3">
        <v>6975013</v>
      </c>
      <c r="F642" s="1">
        <v>3143.31365479945</v>
      </c>
      <c r="G642" s="1">
        <v>6</v>
      </c>
      <c r="H642" s="1">
        <v>3</v>
      </c>
      <c r="I642" s="1">
        <v>3</v>
      </c>
      <c r="J642" s="1">
        <v>3</v>
      </c>
      <c r="K642" s="1">
        <v>3</v>
      </c>
      <c r="M642" s="4">
        <v>2219</v>
      </c>
      <c r="N642" s="1">
        <v>1815</v>
      </c>
      <c r="O642" s="1">
        <v>6441</v>
      </c>
      <c r="P642" s="1">
        <v>4626</v>
      </c>
      <c r="Q642" s="1" t="s">
        <v>42</v>
      </c>
      <c r="S642" s="1" t="s">
        <v>42</v>
      </c>
      <c r="T642" s="1" t="s">
        <v>203</v>
      </c>
      <c r="U642" s="1">
        <v>25</v>
      </c>
      <c r="V642" s="5">
        <v>43664</v>
      </c>
      <c r="W642" s="5">
        <v>41852</v>
      </c>
      <c r="X642" s="1">
        <v>7200000</v>
      </c>
      <c r="Y642" s="1">
        <v>6850000</v>
      </c>
      <c r="Z642" s="5">
        <v>41877</v>
      </c>
      <c r="AA642" s="1">
        <v>6975013</v>
      </c>
      <c r="AB642" s="1" t="s">
        <v>480</v>
      </c>
      <c r="AC642" s="5">
        <v>42599</v>
      </c>
      <c r="AF642" s="1">
        <v>10007</v>
      </c>
      <c r="AJ642" s="1">
        <v>2016</v>
      </c>
      <c r="AK642" s="1" t="s">
        <v>81</v>
      </c>
      <c r="AL642" s="1">
        <v>157</v>
      </c>
    </row>
    <row r="643" spans="1:38" x14ac:dyDescent="0.2">
      <c r="A643" s="2" t="str">
        <f>HYPERLINK("https://www.compass.com/listing/30-park-place-unit-55b-manhattan-ny-10007/29357574516119969/","30 Park Pl, Unit 55B")</f>
        <v>30 Park Pl, Unit 55B</v>
      </c>
      <c r="B643" s="2" t="str">
        <f t="shared" si="108"/>
        <v>30 Park Pl</v>
      </c>
      <c r="C643" s="1" t="s">
        <v>40</v>
      </c>
      <c r="D643" s="1" t="s">
        <v>41</v>
      </c>
      <c r="E643" s="3">
        <v>6418625</v>
      </c>
      <c r="F643" s="1">
        <v>2900.4179846362399</v>
      </c>
      <c r="G643" s="1">
        <v>6</v>
      </c>
      <c r="H643" s="1">
        <v>3</v>
      </c>
      <c r="I643" s="1">
        <v>3</v>
      </c>
      <c r="J643" s="1">
        <v>3</v>
      </c>
      <c r="K643" s="1">
        <v>3</v>
      </c>
      <c r="M643" s="4">
        <v>2213</v>
      </c>
      <c r="N643" s="1">
        <v>1800</v>
      </c>
      <c r="O643" s="1">
        <v>6389</v>
      </c>
      <c r="P643" s="1">
        <v>4589</v>
      </c>
      <c r="Q643" s="1" t="s">
        <v>42</v>
      </c>
      <c r="S643" s="1" t="s">
        <v>42</v>
      </c>
      <c r="T643" s="1" t="s">
        <v>203</v>
      </c>
      <c r="U643" s="1">
        <v>64</v>
      </c>
      <c r="V643" s="5">
        <v>43673</v>
      </c>
      <c r="W643" s="5">
        <v>41838</v>
      </c>
      <c r="X643" s="1">
        <v>6500000</v>
      </c>
      <c r="Y643" s="1">
        <v>6418625</v>
      </c>
      <c r="Z643" s="5">
        <v>41902</v>
      </c>
      <c r="AA643" s="1">
        <v>6418625</v>
      </c>
      <c r="AB643" s="1" t="s">
        <v>481</v>
      </c>
      <c r="AC643" s="5">
        <v>42719</v>
      </c>
      <c r="AF643" s="1">
        <v>10007</v>
      </c>
      <c r="AJ643" s="1">
        <v>2016</v>
      </c>
      <c r="AK643" s="1" t="s">
        <v>81</v>
      </c>
      <c r="AL643" s="1">
        <v>157</v>
      </c>
    </row>
    <row r="644" spans="1:38" x14ac:dyDescent="0.2">
      <c r="A644" s="2" t="str">
        <f>HYPERLINK("https://www.compass.com/listing/30-park-place-unit-65a-manhattan-ny-10007/803339170726417873/","30 Park Pl, Unit 65A")</f>
        <v>30 Park Pl, Unit 65A</v>
      </c>
      <c r="B644" s="2" t="str">
        <f t="shared" si="108"/>
        <v>30 Park Pl</v>
      </c>
      <c r="C644" s="1" t="s">
        <v>40</v>
      </c>
      <c r="D644" s="1" t="s">
        <v>41</v>
      </c>
      <c r="E644" s="3">
        <v>9300000</v>
      </c>
      <c r="F644" s="1">
        <v>2513.5135135135101</v>
      </c>
      <c r="G644" s="1">
        <v>9</v>
      </c>
      <c r="H644" s="1">
        <v>4</v>
      </c>
      <c r="I644" s="1">
        <v>6</v>
      </c>
      <c r="J644" s="1">
        <v>5.5</v>
      </c>
      <c r="K644" s="1">
        <v>5</v>
      </c>
      <c r="L644" s="1">
        <v>1</v>
      </c>
      <c r="M644" s="4">
        <v>3700</v>
      </c>
      <c r="N644" s="1">
        <v>3293</v>
      </c>
      <c r="O644" s="1">
        <v>11826</v>
      </c>
      <c r="P644" s="1">
        <v>8533</v>
      </c>
      <c r="Q644" s="1" t="s">
        <v>42</v>
      </c>
      <c r="S644" s="1" t="s">
        <v>42</v>
      </c>
      <c r="T644" s="1" t="s">
        <v>203</v>
      </c>
      <c r="U644" s="1">
        <v>230</v>
      </c>
      <c r="V644" s="5">
        <v>44063</v>
      </c>
      <c r="W644" s="5">
        <v>43647</v>
      </c>
      <c r="X644" s="1">
        <v>11100000</v>
      </c>
      <c r="Y644" s="1">
        <v>9500000</v>
      </c>
      <c r="Z644" s="5">
        <v>44021</v>
      </c>
      <c r="AA644" s="1">
        <v>9300000</v>
      </c>
      <c r="AB644" s="1" t="s">
        <v>397</v>
      </c>
      <c r="AC644" s="5">
        <v>44055</v>
      </c>
      <c r="AF644" s="1">
        <v>10007</v>
      </c>
      <c r="AJ644" s="1">
        <v>2016</v>
      </c>
      <c r="AK644" s="1" t="s">
        <v>81</v>
      </c>
      <c r="AL644" s="1">
        <v>157</v>
      </c>
    </row>
    <row r="645" spans="1:38" x14ac:dyDescent="0.2">
      <c r="A645" s="2" t="str">
        <f>HYPERLINK("https://www.compass.com/listing/30-park-place-unit-44c-manhattan-ny-10007/29357560465296321/","30 Park Pl, Unit 44C")</f>
        <v>30 Park Pl, Unit 44C</v>
      </c>
      <c r="B645" s="2" t="str">
        <f t="shared" si="108"/>
        <v>30 Park Pl</v>
      </c>
      <c r="C645" s="1" t="s">
        <v>40</v>
      </c>
      <c r="D645" s="1" t="s">
        <v>41</v>
      </c>
      <c r="E645" s="3">
        <v>3161666</v>
      </c>
      <c r="F645" s="1">
        <v>2853.4891696750901</v>
      </c>
      <c r="G645" s="1">
        <v>3</v>
      </c>
      <c r="H645" s="1">
        <v>1</v>
      </c>
      <c r="I645" s="1">
        <v>1</v>
      </c>
      <c r="J645" s="1">
        <v>1</v>
      </c>
      <c r="K645" s="1">
        <v>1</v>
      </c>
      <c r="M645" s="4">
        <v>1108</v>
      </c>
      <c r="N645" s="1">
        <v>882</v>
      </c>
      <c r="O645" s="1">
        <v>3130</v>
      </c>
      <c r="P645" s="1">
        <v>2248</v>
      </c>
      <c r="Q645" s="1" t="s">
        <v>42</v>
      </c>
      <c r="S645" s="1" t="s">
        <v>42</v>
      </c>
      <c r="T645" s="1" t="s">
        <v>203</v>
      </c>
      <c r="U645" s="1">
        <v>6</v>
      </c>
      <c r="V645" s="5">
        <v>43675</v>
      </c>
      <c r="W645" s="5">
        <v>42085</v>
      </c>
      <c r="X645" s="1">
        <v>3105000</v>
      </c>
      <c r="Y645" s="1">
        <v>3105000</v>
      </c>
      <c r="Z645" s="5">
        <v>42109</v>
      </c>
      <c r="AA645" s="1">
        <v>3161666</v>
      </c>
      <c r="AB645" s="1" t="s">
        <v>482</v>
      </c>
      <c r="AC645" s="5">
        <v>42672</v>
      </c>
      <c r="AF645" s="1">
        <v>10007</v>
      </c>
      <c r="AJ645" s="1">
        <v>2016</v>
      </c>
      <c r="AK645" s="1" t="s">
        <v>81</v>
      </c>
      <c r="AL645" s="1">
        <v>157</v>
      </c>
    </row>
    <row r="646" spans="1:38" x14ac:dyDescent="0.2">
      <c r="A646" s="2" t="str">
        <f>HYPERLINK("https://www.compass.com/listing/30-park-place-unit-48c-manhattan-ny-10007/29357565381020689/","30 Park Pl, Unit 48C")</f>
        <v>30 Park Pl, Unit 48C</v>
      </c>
      <c r="B646" s="2" t="str">
        <f t="shared" si="108"/>
        <v>30 Park Pl</v>
      </c>
      <c r="C646" s="1" t="s">
        <v>40</v>
      </c>
      <c r="D646" s="1" t="s">
        <v>41</v>
      </c>
      <c r="E646" s="3">
        <v>3243126</v>
      </c>
      <c r="F646" s="1">
        <v>2927.00902527075</v>
      </c>
      <c r="G646" s="1">
        <v>3</v>
      </c>
      <c r="H646" s="1">
        <v>1</v>
      </c>
      <c r="I646" s="1">
        <v>1</v>
      </c>
      <c r="J646" s="1">
        <v>1</v>
      </c>
      <c r="K646" s="1">
        <v>1</v>
      </c>
      <c r="M646" s="4">
        <v>1108</v>
      </c>
      <c r="N646" s="1">
        <v>886</v>
      </c>
      <c r="O646" s="1">
        <v>3144</v>
      </c>
      <c r="P646" s="1">
        <v>2258</v>
      </c>
      <c r="Q646" s="1" t="s">
        <v>42</v>
      </c>
      <c r="S646" s="1" t="s">
        <v>42</v>
      </c>
      <c r="T646" s="1" t="s">
        <v>203</v>
      </c>
      <c r="U646" s="1">
        <v>1</v>
      </c>
      <c r="V646" s="5">
        <v>43675</v>
      </c>
      <c r="W646" s="5">
        <v>42108</v>
      </c>
      <c r="X646" s="1">
        <v>3185000</v>
      </c>
      <c r="Y646" s="1">
        <v>3185000</v>
      </c>
      <c r="Z646" s="5">
        <v>42109</v>
      </c>
      <c r="AA646" s="1">
        <v>3243126</v>
      </c>
      <c r="AB646" s="1" t="s">
        <v>483</v>
      </c>
      <c r="AC646" s="5">
        <v>42675</v>
      </c>
      <c r="AF646" s="1">
        <v>10007</v>
      </c>
      <c r="AJ646" s="1">
        <v>2016</v>
      </c>
      <c r="AK646" s="1" t="s">
        <v>81</v>
      </c>
      <c r="AL646" s="1">
        <v>157</v>
      </c>
    </row>
    <row r="647" spans="1:38" x14ac:dyDescent="0.2">
      <c r="A647" s="2" t="str">
        <f>HYPERLINK("https://www.compass.com/listing/30-park-place-unit-45e-manhattan-ny-10007/29357562428230625/","30 Park Pl, Unit 45E")</f>
        <v>30 Park Pl, Unit 45E</v>
      </c>
      <c r="B647" s="2" t="str">
        <f t="shared" si="108"/>
        <v>30 Park Pl</v>
      </c>
      <c r="C647" s="1" t="s">
        <v>40</v>
      </c>
      <c r="D647" s="1" t="s">
        <v>41</v>
      </c>
      <c r="E647" s="3">
        <v>5081068</v>
      </c>
      <c r="F647" s="1">
        <v>2832.2564102564102</v>
      </c>
      <c r="G647" s="1">
        <v>5</v>
      </c>
      <c r="H647" s="1">
        <v>3</v>
      </c>
      <c r="I647" s="1">
        <v>3</v>
      </c>
      <c r="J647" s="1">
        <v>2.5</v>
      </c>
      <c r="K647" s="1">
        <v>2</v>
      </c>
      <c r="L647" s="1">
        <v>1</v>
      </c>
      <c r="M647" s="4">
        <v>1794</v>
      </c>
      <c r="N647" s="1">
        <v>1449</v>
      </c>
      <c r="O647" s="1">
        <v>5143</v>
      </c>
      <c r="P647" s="1">
        <v>3694</v>
      </c>
      <c r="Q647" s="1" t="s">
        <v>42</v>
      </c>
      <c r="S647" s="1" t="s">
        <v>42</v>
      </c>
      <c r="T647" s="1" t="s">
        <v>203</v>
      </c>
      <c r="U647" s="1">
        <v>15</v>
      </c>
      <c r="V647" s="5">
        <v>43700</v>
      </c>
      <c r="W647" s="5">
        <v>41843</v>
      </c>
      <c r="X647" s="1">
        <v>5000000</v>
      </c>
      <c r="Y647" s="1">
        <v>5000000</v>
      </c>
      <c r="Z647" s="5">
        <v>41858</v>
      </c>
      <c r="AA647" s="1">
        <v>5081068</v>
      </c>
      <c r="AB647" s="1" t="s">
        <v>484</v>
      </c>
      <c r="AC647" s="5">
        <v>42591</v>
      </c>
      <c r="AF647" s="1">
        <v>10007</v>
      </c>
      <c r="AJ647" s="1">
        <v>2016</v>
      </c>
      <c r="AK647" s="1" t="s">
        <v>81</v>
      </c>
      <c r="AL647" s="1">
        <v>157</v>
      </c>
    </row>
    <row r="648" spans="1:38" x14ac:dyDescent="0.2">
      <c r="A648" s="2" t="str">
        <f>HYPERLINK("https://www.compass.com/listing/30-park-place-unit-46e-manhattan-ny-10007/29357563401309169/","30 Park Pl, Unit 46E")</f>
        <v>30 Park Pl, Unit 46E</v>
      </c>
      <c r="B648" s="2" t="str">
        <f t="shared" si="108"/>
        <v>30 Park Pl</v>
      </c>
      <c r="C648" s="1" t="s">
        <v>40</v>
      </c>
      <c r="D648" s="1" t="s">
        <v>41</v>
      </c>
      <c r="E648" s="3">
        <v>5142163</v>
      </c>
      <c r="F648" s="1">
        <v>2866.3115942028899</v>
      </c>
      <c r="G648" s="1">
        <v>5</v>
      </c>
      <c r="H648" s="1">
        <v>3</v>
      </c>
      <c r="I648" s="1">
        <v>2</v>
      </c>
      <c r="J648" s="1">
        <v>2</v>
      </c>
      <c r="K648" s="1">
        <v>2</v>
      </c>
      <c r="M648" s="4">
        <v>1794</v>
      </c>
      <c r="N648" s="1">
        <v>1452</v>
      </c>
      <c r="O648" s="1">
        <v>5153</v>
      </c>
      <c r="P648" s="1">
        <v>3701</v>
      </c>
      <c r="Q648" s="1" t="s">
        <v>42</v>
      </c>
      <c r="S648" s="1" t="s">
        <v>42</v>
      </c>
      <c r="T648" s="1" t="s">
        <v>203</v>
      </c>
      <c r="U648" s="1">
        <v>58</v>
      </c>
      <c r="V648" s="5">
        <v>43673</v>
      </c>
      <c r="W648" s="5">
        <v>41837</v>
      </c>
      <c r="X648" s="1">
        <v>5050000</v>
      </c>
      <c r="Y648" s="1">
        <v>5050000</v>
      </c>
      <c r="Z648" s="5">
        <v>41895</v>
      </c>
      <c r="AA648" s="1">
        <v>5142163</v>
      </c>
      <c r="AB648" s="1" t="s">
        <v>485</v>
      </c>
      <c r="AC648" s="5">
        <v>42615</v>
      </c>
      <c r="AF648" s="1">
        <v>10007</v>
      </c>
      <c r="AJ648" s="1">
        <v>2016</v>
      </c>
      <c r="AK648" s="1" t="s">
        <v>81</v>
      </c>
      <c r="AL648" s="1">
        <v>157</v>
      </c>
    </row>
    <row r="649" spans="1:38" x14ac:dyDescent="0.2">
      <c r="A649" s="2" t="str">
        <f>HYPERLINK("https://www.compass.com/listing/30-park-place-unit-47e-manhattan-ny-10007/29357564726614257/","30 Park Pl, Unit 47E")</f>
        <v>30 Park Pl, Unit 47E</v>
      </c>
      <c r="B649" s="2" t="str">
        <f t="shared" si="108"/>
        <v>30 Park Pl</v>
      </c>
      <c r="C649" s="1" t="s">
        <v>40</v>
      </c>
      <c r="D649" s="1" t="s">
        <v>41</v>
      </c>
      <c r="E649" s="3">
        <v>5600375</v>
      </c>
      <c r="F649" s="1">
        <v>3121.7251950947598</v>
      </c>
      <c r="G649" s="1">
        <v>5</v>
      </c>
      <c r="H649" s="1">
        <v>3</v>
      </c>
      <c r="I649" s="1">
        <v>2</v>
      </c>
      <c r="J649" s="1">
        <v>2</v>
      </c>
      <c r="K649" s="1">
        <v>2</v>
      </c>
      <c r="M649" s="4">
        <v>1794</v>
      </c>
      <c r="N649" s="1">
        <v>1454</v>
      </c>
      <c r="O649" s="1">
        <v>5161</v>
      </c>
      <c r="P649" s="1">
        <v>3707</v>
      </c>
      <c r="Q649" s="1" t="s">
        <v>42</v>
      </c>
      <c r="S649" s="1" t="s">
        <v>42</v>
      </c>
      <c r="T649" s="1" t="s">
        <v>203</v>
      </c>
      <c r="U649" s="1">
        <v>4</v>
      </c>
      <c r="V649" s="5">
        <v>43675</v>
      </c>
      <c r="W649" s="5">
        <v>42052</v>
      </c>
      <c r="X649" s="1">
        <v>5900000</v>
      </c>
      <c r="Y649" s="1">
        <v>5500000</v>
      </c>
      <c r="Z649" s="5">
        <v>42056</v>
      </c>
      <c r="AA649" s="1">
        <v>5600375</v>
      </c>
      <c r="AB649" s="1" t="s">
        <v>486</v>
      </c>
      <c r="AC649" s="5">
        <v>42654</v>
      </c>
      <c r="AF649" s="1">
        <v>10007</v>
      </c>
      <c r="AJ649" s="1">
        <v>2016</v>
      </c>
      <c r="AK649" s="1" t="s">
        <v>81</v>
      </c>
      <c r="AL649" s="1">
        <v>157</v>
      </c>
    </row>
    <row r="650" spans="1:38" x14ac:dyDescent="0.2">
      <c r="A650" s="2" t="str">
        <f>HYPERLINK("https://www.compass.com/listing/30-park-place-unit-41e-manhattan-ny-10007/29512132848626417/","30 Park Pl, Unit 41E")</f>
        <v>30 Park Pl, Unit 41E</v>
      </c>
      <c r="B650" s="2" t="str">
        <f t="shared" si="108"/>
        <v>30 Park Pl</v>
      </c>
      <c r="C650" s="1" t="s">
        <v>40</v>
      </c>
      <c r="D650" s="1" t="s">
        <v>41</v>
      </c>
      <c r="E650" s="3">
        <v>4687638</v>
      </c>
      <c r="F650" s="1">
        <v>2612.9531772575201</v>
      </c>
      <c r="G650" s="1">
        <v>5</v>
      </c>
      <c r="H650" s="1">
        <v>3</v>
      </c>
      <c r="I650" s="1">
        <v>2</v>
      </c>
      <c r="J650" s="1">
        <v>2</v>
      </c>
      <c r="K650" s="1">
        <v>2</v>
      </c>
      <c r="M650" s="4">
        <v>1794</v>
      </c>
      <c r="N650" s="1">
        <v>1439</v>
      </c>
      <c r="O650" s="1">
        <v>5107</v>
      </c>
      <c r="P650" s="1">
        <v>3668</v>
      </c>
      <c r="Q650" s="1" t="s">
        <v>345</v>
      </c>
      <c r="S650" s="1" t="s">
        <v>345</v>
      </c>
      <c r="T650" s="1" t="s">
        <v>203</v>
      </c>
      <c r="U650" s="1">
        <v>2</v>
      </c>
      <c r="V650" s="5">
        <v>43673</v>
      </c>
      <c r="W650" s="5">
        <v>41835</v>
      </c>
      <c r="X650" s="1">
        <v>4800000</v>
      </c>
      <c r="Y650" s="1">
        <v>4550000</v>
      </c>
      <c r="Z650" s="5">
        <v>41837</v>
      </c>
      <c r="AA650" s="1">
        <v>4687638</v>
      </c>
      <c r="AB650" s="1" t="s">
        <v>487</v>
      </c>
      <c r="AC650" s="5">
        <v>42605</v>
      </c>
      <c r="AF650" s="1">
        <v>10007</v>
      </c>
      <c r="AJ650" s="1">
        <v>2016</v>
      </c>
      <c r="AK650" s="1" t="s">
        <v>81</v>
      </c>
      <c r="AL650" s="1">
        <v>157</v>
      </c>
    </row>
    <row r="651" spans="1:38" x14ac:dyDescent="0.2">
      <c r="A651" s="2" t="str">
        <f>HYPERLINK("https://www.compass.com/listing/30-park-place-unit-57b-manhattan-ny-10007/206527309111464705/","30 Park Pl, Unit 57B")</f>
        <v>30 Park Pl, Unit 57B</v>
      </c>
      <c r="B651" s="2" t="str">
        <f t="shared" si="108"/>
        <v>30 Park Pl</v>
      </c>
      <c r="C651" s="1" t="s">
        <v>40</v>
      </c>
      <c r="D651" s="1" t="s">
        <v>41</v>
      </c>
      <c r="E651" s="3">
        <v>5065794</v>
      </c>
      <c r="F651" s="1">
        <v>2853.9684507042198</v>
      </c>
      <c r="G651" s="1">
        <v>4.5</v>
      </c>
      <c r="H651" s="1">
        <v>2</v>
      </c>
      <c r="I651" s="1">
        <v>2</v>
      </c>
      <c r="J651" s="1">
        <v>2.5</v>
      </c>
      <c r="K651" s="1">
        <v>2</v>
      </c>
      <c r="L651" s="1">
        <v>1</v>
      </c>
      <c r="M651" s="4">
        <v>1775</v>
      </c>
      <c r="N651" s="1">
        <v>1448</v>
      </c>
      <c r="O651" s="1">
        <v>5140</v>
      </c>
      <c r="P651" s="1">
        <v>3692</v>
      </c>
      <c r="Q651" s="1" t="s">
        <v>42</v>
      </c>
      <c r="S651" s="1" t="s">
        <v>42</v>
      </c>
      <c r="T651" s="1" t="s">
        <v>203</v>
      </c>
      <c r="U651" s="1">
        <v>19</v>
      </c>
      <c r="V651" s="5">
        <v>43676</v>
      </c>
      <c r="W651" s="5">
        <v>41852</v>
      </c>
      <c r="X651" s="1">
        <v>4975000</v>
      </c>
      <c r="Y651" s="1">
        <v>4975000</v>
      </c>
      <c r="Z651" s="5">
        <v>41871</v>
      </c>
      <c r="AA651" s="1">
        <v>5065794</v>
      </c>
      <c r="AB651" s="1" t="s">
        <v>488</v>
      </c>
      <c r="AC651" s="5">
        <v>42843</v>
      </c>
      <c r="AF651" s="1">
        <v>10007</v>
      </c>
      <c r="AJ651" s="1">
        <v>2016</v>
      </c>
      <c r="AK651" s="1" t="s">
        <v>81</v>
      </c>
      <c r="AL651" s="1">
        <v>157</v>
      </c>
    </row>
    <row r="652" spans="1:38" x14ac:dyDescent="0.2">
      <c r="A652" s="2" t="str">
        <f>HYPERLINK("https://www.compass.com/listing/30-park-place-unit-45b-manhattan-ny-10007/29357561731881153/","30 Park Pl, Unit 45B")</f>
        <v>30 Park Pl, Unit 45B</v>
      </c>
      <c r="B652" s="2" t="str">
        <f t="shared" si="108"/>
        <v>30 Park Pl</v>
      </c>
      <c r="C652" s="1" t="s">
        <v>40</v>
      </c>
      <c r="D652" s="1" t="s">
        <v>41</v>
      </c>
      <c r="E652" s="3">
        <v>5404385</v>
      </c>
      <c r="F652" s="1">
        <v>3247.8275240384601</v>
      </c>
      <c r="G652" s="1">
        <v>4</v>
      </c>
      <c r="H652" s="1">
        <v>2</v>
      </c>
      <c r="I652" s="1">
        <v>2</v>
      </c>
      <c r="J652" s="1">
        <v>2</v>
      </c>
      <c r="K652" s="1">
        <v>2</v>
      </c>
      <c r="M652" s="4">
        <v>1664</v>
      </c>
      <c r="N652" s="1">
        <v>1334</v>
      </c>
      <c r="O652" s="1">
        <v>4733</v>
      </c>
      <c r="P652" s="1">
        <v>3399</v>
      </c>
      <c r="Q652" s="1" t="s">
        <v>42</v>
      </c>
      <c r="S652" s="1" t="s">
        <v>42</v>
      </c>
      <c r="T652" s="1" t="s">
        <v>203</v>
      </c>
      <c r="V652" s="5">
        <v>43675</v>
      </c>
      <c r="W652" s="5">
        <v>42410</v>
      </c>
      <c r="X652" s="1">
        <v>5404385</v>
      </c>
      <c r="Y652" s="1">
        <v>5404385</v>
      </c>
      <c r="Z652" s="5">
        <v>42410</v>
      </c>
      <c r="AA652" s="1">
        <v>5404385</v>
      </c>
      <c r="AB652" s="1" t="s">
        <v>489</v>
      </c>
      <c r="AC652" s="5">
        <v>42660</v>
      </c>
      <c r="AF652" s="1">
        <v>10007</v>
      </c>
      <c r="AJ652" s="1">
        <v>2016</v>
      </c>
      <c r="AK652" s="1" t="s">
        <v>81</v>
      </c>
      <c r="AL652" s="1">
        <v>157</v>
      </c>
    </row>
    <row r="653" spans="1:38" x14ac:dyDescent="0.2">
      <c r="A653" s="2" t="str">
        <f>HYPERLINK("https://www.compass.com/listing/30-park-place-unit-59d-manhattan-ny-10007/29357580950179233/","30 Park Pl, Unit 59D")</f>
        <v>30 Park Pl, Unit 59D</v>
      </c>
      <c r="B653" s="2" t="str">
        <f t="shared" si="108"/>
        <v>30 Park Pl</v>
      </c>
      <c r="C653" s="1" t="s">
        <v>40</v>
      </c>
      <c r="D653" s="1" t="s">
        <v>41</v>
      </c>
      <c r="E653" s="3">
        <v>4689041</v>
      </c>
      <c r="F653" s="1">
        <v>3048.7912873862101</v>
      </c>
      <c r="G653" s="1">
        <v>4</v>
      </c>
      <c r="H653" s="1">
        <v>2</v>
      </c>
      <c r="I653" s="1">
        <v>2</v>
      </c>
      <c r="J653" s="1">
        <v>2.5</v>
      </c>
      <c r="K653" s="1">
        <v>2</v>
      </c>
      <c r="L653" s="1">
        <v>1</v>
      </c>
      <c r="M653" s="4">
        <v>1538</v>
      </c>
      <c r="N653" s="1">
        <v>1264</v>
      </c>
      <c r="O653" s="1">
        <v>4486</v>
      </c>
      <c r="P653" s="1">
        <v>3222</v>
      </c>
      <c r="Q653" s="1" t="s">
        <v>42</v>
      </c>
      <c r="S653" s="1" t="s">
        <v>42</v>
      </c>
      <c r="T653" s="1" t="s">
        <v>203</v>
      </c>
      <c r="U653" s="1">
        <v>13</v>
      </c>
      <c r="V653" s="5">
        <v>43662</v>
      </c>
      <c r="W653" s="5">
        <v>41914</v>
      </c>
      <c r="X653" s="1">
        <v>4905000</v>
      </c>
      <c r="Y653" s="1">
        <v>4605000</v>
      </c>
      <c r="Z653" s="5">
        <v>41927</v>
      </c>
      <c r="AA653" s="1">
        <v>4689041</v>
      </c>
      <c r="AB653" s="1" t="s">
        <v>490</v>
      </c>
      <c r="AC653" s="5">
        <v>42836</v>
      </c>
      <c r="AF653" s="1">
        <v>10007</v>
      </c>
      <c r="AJ653" s="1">
        <v>2016</v>
      </c>
      <c r="AK653" s="1" t="s">
        <v>81</v>
      </c>
      <c r="AL653" s="1">
        <v>157</v>
      </c>
    </row>
    <row r="654" spans="1:38" x14ac:dyDescent="0.2">
      <c r="A654" s="2" t="str">
        <f>HYPERLINK("https://www.compass.com/listing/30-park-place-unit-60c-manhattan-ny-10007/29357581956812209/","30 Park Pl, Unit 60C")</f>
        <v>30 Park Pl, Unit 60C</v>
      </c>
      <c r="B654" s="2" t="str">
        <f t="shared" si="108"/>
        <v>30 Park Pl</v>
      </c>
      <c r="C654" s="1" t="s">
        <v>40</v>
      </c>
      <c r="D654" s="1" t="s">
        <v>41</v>
      </c>
      <c r="E654" s="3">
        <v>5391634</v>
      </c>
      <c r="F654" s="1">
        <v>3494.25405055087</v>
      </c>
      <c r="G654" s="1">
        <v>4</v>
      </c>
      <c r="H654" s="1">
        <v>2</v>
      </c>
      <c r="I654" s="1">
        <v>2</v>
      </c>
      <c r="J654" s="1">
        <v>2</v>
      </c>
      <c r="K654" s="1">
        <v>2</v>
      </c>
      <c r="M654" s="4">
        <v>1543</v>
      </c>
      <c r="N654" s="1">
        <v>1243</v>
      </c>
      <c r="O654" s="1">
        <v>4412</v>
      </c>
      <c r="P654" s="1">
        <v>3169</v>
      </c>
      <c r="Q654" s="1" t="s">
        <v>42</v>
      </c>
      <c r="S654" s="1" t="s">
        <v>42</v>
      </c>
      <c r="T654" s="1" t="s">
        <v>203</v>
      </c>
      <c r="U654" s="1">
        <v>246</v>
      </c>
      <c r="V654" s="5">
        <v>43663</v>
      </c>
      <c r="W654" s="5">
        <v>41845</v>
      </c>
      <c r="X654" s="1">
        <v>4595000</v>
      </c>
      <c r="Y654" s="1">
        <v>5295000</v>
      </c>
      <c r="Z654" s="5">
        <v>42091</v>
      </c>
      <c r="AA654" s="1">
        <v>5391634</v>
      </c>
      <c r="AB654" s="1" t="s">
        <v>491</v>
      </c>
      <c r="AC654" s="5">
        <v>42768</v>
      </c>
      <c r="AF654" s="1">
        <v>10007</v>
      </c>
      <c r="AJ654" s="1">
        <v>2016</v>
      </c>
      <c r="AK654" s="1" t="s">
        <v>81</v>
      </c>
      <c r="AL654" s="1">
        <v>157</v>
      </c>
    </row>
    <row r="655" spans="1:38" x14ac:dyDescent="0.2">
      <c r="A655" s="2" t="str">
        <f>HYPERLINK("https://www.compass.com/listing/30-park-place-unit-61d-manhattan-ny-10007/29357583617759809/","30 Park Pl, Unit 61D")</f>
        <v>30 Park Pl, Unit 61D</v>
      </c>
      <c r="B655" s="2" t="str">
        <f t="shared" si="108"/>
        <v>30 Park Pl</v>
      </c>
      <c r="C655" s="1" t="s">
        <v>40</v>
      </c>
      <c r="D655" s="1" t="s">
        <v>41</v>
      </c>
      <c r="E655" s="3">
        <v>5075976</v>
      </c>
      <c r="F655" s="1">
        <v>3300.3745123537001</v>
      </c>
      <c r="G655" s="1">
        <v>4</v>
      </c>
      <c r="H655" s="1">
        <v>2</v>
      </c>
      <c r="I655" s="1">
        <v>2</v>
      </c>
      <c r="J655" s="1">
        <v>2</v>
      </c>
      <c r="K655" s="1">
        <v>2</v>
      </c>
      <c r="M655" s="4">
        <v>1538</v>
      </c>
      <c r="N655" s="1">
        <v>1268</v>
      </c>
      <c r="O655" s="1">
        <v>4501</v>
      </c>
      <c r="P655" s="1">
        <v>3233</v>
      </c>
      <c r="Q655" s="1" t="s">
        <v>42</v>
      </c>
      <c r="S655" s="1" t="s">
        <v>42</v>
      </c>
      <c r="T655" s="1" t="s">
        <v>203</v>
      </c>
      <c r="U655" s="1">
        <v>90</v>
      </c>
      <c r="V655" s="5">
        <v>43666</v>
      </c>
      <c r="W655" s="5">
        <v>41900</v>
      </c>
      <c r="X655" s="1">
        <v>4985000</v>
      </c>
      <c r="Y655" s="1">
        <v>4985000</v>
      </c>
      <c r="Z655" s="5">
        <v>41990</v>
      </c>
      <c r="AA655" s="1">
        <v>5075976</v>
      </c>
      <c r="AB655" s="1" t="s">
        <v>492</v>
      </c>
      <c r="AC655" s="5">
        <v>42763</v>
      </c>
      <c r="AF655" s="1">
        <v>10007</v>
      </c>
      <c r="AJ655" s="1">
        <v>2016</v>
      </c>
      <c r="AK655" s="1" t="s">
        <v>81</v>
      </c>
      <c r="AL655" s="1">
        <v>157</v>
      </c>
    </row>
    <row r="656" spans="1:38" x14ac:dyDescent="0.2">
      <c r="A656" s="2" t="str">
        <f>HYPERLINK("https://www.compass.com/listing/30-park-place-unit-62c-manhattan-ny-10007/29357584305720625/","30 Park Pl, Unit 62C")</f>
        <v>30 Park Pl, Unit 62C</v>
      </c>
      <c r="B656" s="2" t="str">
        <f t="shared" si="108"/>
        <v>30 Park Pl</v>
      </c>
      <c r="C656" s="1" t="s">
        <v>40</v>
      </c>
      <c r="D656" s="1" t="s">
        <v>41</v>
      </c>
      <c r="E656" s="3">
        <v>4760319</v>
      </c>
      <c r="F656" s="1">
        <v>3085.1062864549499</v>
      </c>
      <c r="G656" s="1">
        <v>4</v>
      </c>
      <c r="H656" s="1">
        <v>2</v>
      </c>
      <c r="I656" s="1">
        <v>2</v>
      </c>
      <c r="J656" s="1">
        <v>2.5</v>
      </c>
      <c r="K656" s="1">
        <v>2</v>
      </c>
      <c r="L656" s="1">
        <v>1</v>
      </c>
      <c r="M656" s="4">
        <v>1543</v>
      </c>
      <c r="N656" s="1">
        <v>1247</v>
      </c>
      <c r="O656" s="1">
        <v>4427</v>
      </c>
      <c r="P656" s="1">
        <v>3180</v>
      </c>
      <c r="Q656" s="1" t="s">
        <v>42</v>
      </c>
      <c r="S656" s="1" t="s">
        <v>42</v>
      </c>
      <c r="T656" s="1" t="s">
        <v>203</v>
      </c>
      <c r="U656" s="1">
        <v>8</v>
      </c>
      <c r="V656" s="5">
        <v>43668</v>
      </c>
      <c r="W656" s="5">
        <v>41940</v>
      </c>
      <c r="X656" s="1">
        <v>5075000</v>
      </c>
      <c r="Y656" s="1">
        <v>4675000</v>
      </c>
      <c r="Z656" s="5">
        <v>41948</v>
      </c>
      <c r="AA656" s="1">
        <v>4760319</v>
      </c>
      <c r="AB656" s="1" t="s">
        <v>493</v>
      </c>
      <c r="AC656" s="5">
        <v>42762</v>
      </c>
      <c r="AF656" s="1">
        <v>10007</v>
      </c>
      <c r="AJ656" s="1">
        <v>2016</v>
      </c>
      <c r="AK656" s="1" t="s">
        <v>81</v>
      </c>
      <c r="AL656" s="1">
        <v>157</v>
      </c>
    </row>
    <row r="657" spans="1:38" x14ac:dyDescent="0.2">
      <c r="A657" s="2" t="str">
        <f>HYPERLINK("https://www.compass.com/listing/189-avenue-c-unit-4c-manhattan-ny-10009/29361146226133361/","189 Avenue C, Unit 4C")</f>
        <v>189 Avenue C, Unit 4C</v>
      </c>
      <c r="B657" s="2" t="str">
        <f>HYPERLINK("https://www.compass.com/building/the-calyx-manhattan-ny/426959097439640773/","The Calyx")</f>
        <v>The Calyx</v>
      </c>
      <c r="C657" s="1" t="s">
        <v>88</v>
      </c>
      <c r="D657" s="1" t="s">
        <v>41</v>
      </c>
      <c r="E657" s="3">
        <v>725000</v>
      </c>
      <c r="F657" s="1">
        <v>923.56687898089103</v>
      </c>
      <c r="G657" s="1">
        <v>2</v>
      </c>
      <c r="H657" s="1" t="s">
        <v>77</v>
      </c>
      <c r="I657" s="1">
        <v>1</v>
      </c>
      <c r="J657" s="1">
        <v>1</v>
      </c>
      <c r="K657" s="1">
        <v>1</v>
      </c>
      <c r="M657" s="1">
        <v>785</v>
      </c>
      <c r="N657" s="1">
        <v>684.18</v>
      </c>
      <c r="O657" s="1">
        <v>1107.71</v>
      </c>
      <c r="P657" s="1">
        <v>423.5</v>
      </c>
      <c r="Q657" s="1" t="s">
        <v>335</v>
      </c>
      <c r="S657" s="1" t="s">
        <v>336</v>
      </c>
      <c r="T657" s="1" t="s">
        <v>203</v>
      </c>
      <c r="U657" s="1">
        <v>138</v>
      </c>
      <c r="V657" s="5">
        <v>43635</v>
      </c>
      <c r="W657" s="5">
        <v>42584</v>
      </c>
      <c r="X657" s="1">
        <v>775000</v>
      </c>
      <c r="Y657" s="1">
        <v>750000</v>
      </c>
      <c r="Z657" s="5">
        <v>42722</v>
      </c>
      <c r="AA657" s="1">
        <v>725000</v>
      </c>
      <c r="AB657" s="1" t="s">
        <v>494</v>
      </c>
      <c r="AC657" s="5">
        <v>42783</v>
      </c>
      <c r="AF657" s="1">
        <v>10009</v>
      </c>
      <c r="AI657" s="1" t="s">
        <v>73</v>
      </c>
      <c r="AJ657" s="1">
        <v>2011</v>
      </c>
      <c r="AK657" s="1" t="s">
        <v>140</v>
      </c>
      <c r="AL657" s="1">
        <v>35</v>
      </c>
    </row>
    <row r="658" spans="1:38" x14ac:dyDescent="0.2">
      <c r="A658" s="2" t="str">
        <f>HYPERLINK("https://www.compass.com/listing/30-park-place-unit-75a-manhattan-ny-10007/29357595009489665/","30 Park Pl, Unit 75A")</f>
        <v>30 Park Pl, Unit 75A</v>
      </c>
      <c r="B658" s="2" t="str">
        <f t="shared" ref="B658:B664" si="109">HYPERLINK("https://www.compass.com/building/30-park-pl-manhattan-ny-10007/281896912905317605/","30 Park Pl")</f>
        <v>30 Park Pl</v>
      </c>
      <c r="C658" s="1" t="s">
        <v>40</v>
      </c>
      <c r="D658" s="1" t="s">
        <v>41</v>
      </c>
      <c r="E658" s="3">
        <v>19975438</v>
      </c>
      <c r="F658" s="1">
        <v>4473.7823068308999</v>
      </c>
      <c r="G658" s="1">
        <v>9</v>
      </c>
      <c r="H658" s="1">
        <v>5</v>
      </c>
      <c r="I658" s="1">
        <v>6</v>
      </c>
      <c r="J658" s="1">
        <v>6.5</v>
      </c>
      <c r="K658" s="1">
        <v>6</v>
      </c>
      <c r="L658" s="1">
        <v>1</v>
      </c>
      <c r="M658" s="4">
        <v>4465</v>
      </c>
      <c r="N658" s="1">
        <v>4058</v>
      </c>
      <c r="O658" s="1">
        <v>14403</v>
      </c>
      <c r="P658" s="1">
        <v>10345</v>
      </c>
      <c r="Q658" s="1" t="s">
        <v>42</v>
      </c>
      <c r="S658" s="1" t="s">
        <v>42</v>
      </c>
      <c r="T658" s="1" t="s">
        <v>203</v>
      </c>
      <c r="V658" s="5">
        <v>43662</v>
      </c>
      <c r="W658" s="5">
        <v>42704</v>
      </c>
      <c r="X658" s="1">
        <v>19750000</v>
      </c>
      <c r="Y658" s="1">
        <v>19750000</v>
      </c>
      <c r="Z658" s="5">
        <v>42704</v>
      </c>
      <c r="AA658" s="1">
        <v>19975438</v>
      </c>
      <c r="AB658" s="1" t="s">
        <v>495</v>
      </c>
      <c r="AC658" s="5">
        <v>42908</v>
      </c>
      <c r="AF658" s="1">
        <v>10007</v>
      </c>
      <c r="AI658" s="1" t="s">
        <v>193</v>
      </c>
      <c r="AJ658" s="1">
        <v>2016</v>
      </c>
      <c r="AK658" s="1" t="s">
        <v>81</v>
      </c>
      <c r="AL658" s="1">
        <v>157</v>
      </c>
    </row>
    <row r="659" spans="1:38" x14ac:dyDescent="0.2">
      <c r="A659" s="2" t="str">
        <f>HYPERLINK("https://www.compass.com/listing/30-park-place-unit-57a-manhattan-ny-10007/18882307985362289/","30 Park Pl, Unit 57A")</f>
        <v>30 Park Pl, Unit 57A</v>
      </c>
      <c r="B659" s="2" t="str">
        <f t="shared" si="109"/>
        <v>30 Park Pl</v>
      </c>
      <c r="C659" s="1" t="s">
        <v>40</v>
      </c>
      <c r="D659" s="1" t="s">
        <v>41</v>
      </c>
      <c r="E659" s="3">
        <v>6840000</v>
      </c>
      <c r="F659" s="1">
        <v>2433.2977588046901</v>
      </c>
      <c r="G659" s="1">
        <v>7</v>
      </c>
      <c r="H659" s="1">
        <v>4</v>
      </c>
      <c r="I659" s="1">
        <v>5</v>
      </c>
      <c r="J659" s="1">
        <v>4.5</v>
      </c>
      <c r="K659" s="1">
        <v>4</v>
      </c>
      <c r="L659" s="1">
        <v>1</v>
      </c>
      <c r="M659" s="4">
        <v>2811</v>
      </c>
      <c r="N659" s="1">
        <v>2533</v>
      </c>
      <c r="O659" s="1">
        <v>8833</v>
      </c>
      <c r="P659" s="1">
        <v>6300</v>
      </c>
      <c r="Q659" s="1" t="s">
        <v>42</v>
      </c>
      <c r="S659" s="1" t="s">
        <v>42</v>
      </c>
      <c r="T659" s="1" t="s">
        <v>203</v>
      </c>
      <c r="U659" s="1">
        <v>957</v>
      </c>
      <c r="V659" s="5">
        <v>44236</v>
      </c>
      <c r="W659" s="5">
        <v>41865</v>
      </c>
      <c r="X659" s="1">
        <v>9200000</v>
      </c>
      <c r="Y659" s="1">
        <v>7995000</v>
      </c>
      <c r="AA659" s="1">
        <v>6840000</v>
      </c>
      <c r="AB659" s="1" t="s">
        <v>496</v>
      </c>
      <c r="AC659" s="5">
        <v>44229</v>
      </c>
      <c r="AF659" s="1">
        <v>10007</v>
      </c>
      <c r="AI659" s="1" t="s">
        <v>58</v>
      </c>
      <c r="AJ659" s="1">
        <v>2016</v>
      </c>
      <c r="AK659" s="1" t="s">
        <v>81</v>
      </c>
      <c r="AL659" s="1">
        <v>157</v>
      </c>
    </row>
    <row r="660" spans="1:38" x14ac:dyDescent="0.2">
      <c r="A660" s="2" t="str">
        <f>HYPERLINK("https://www.compass.com/listing/30-park-place-unit-45c-manhattan-ny-10007/29357562059033713/","30 Park Pl, Unit 45C")</f>
        <v>30 Park Pl, Unit 45C</v>
      </c>
      <c r="B660" s="2" t="str">
        <f t="shared" si="109"/>
        <v>30 Park Pl</v>
      </c>
      <c r="C660" s="1" t="s">
        <v>40</v>
      </c>
      <c r="D660" s="1" t="s">
        <v>41</v>
      </c>
      <c r="E660" s="3">
        <v>3532727</v>
      </c>
      <c r="F660" s="1">
        <v>3188.3817689530601</v>
      </c>
      <c r="G660" s="1">
        <v>3</v>
      </c>
      <c r="H660" s="1">
        <v>1</v>
      </c>
      <c r="I660" s="1">
        <v>1</v>
      </c>
      <c r="J660" s="1">
        <v>1</v>
      </c>
      <c r="K660" s="1">
        <v>1</v>
      </c>
      <c r="M660" s="4">
        <v>1108</v>
      </c>
      <c r="N660" s="1">
        <v>2251</v>
      </c>
      <c r="O660" s="1">
        <v>3134</v>
      </c>
      <c r="P660" s="1">
        <v>883</v>
      </c>
      <c r="Q660" s="1" t="s">
        <v>42</v>
      </c>
      <c r="S660" s="1" t="s">
        <v>42</v>
      </c>
      <c r="T660" s="1" t="s">
        <v>203</v>
      </c>
      <c r="U660" s="1">
        <v>115</v>
      </c>
      <c r="V660" s="5">
        <v>43665</v>
      </c>
      <c r="W660" s="5">
        <v>42108</v>
      </c>
      <c r="X660" s="1">
        <v>3425000</v>
      </c>
      <c r="Y660" s="1">
        <v>3425000</v>
      </c>
      <c r="Z660" s="5">
        <v>42223</v>
      </c>
      <c r="AA660" s="1">
        <v>3532727</v>
      </c>
      <c r="AB660" s="1" t="s">
        <v>497</v>
      </c>
      <c r="AC660" s="5">
        <v>42662</v>
      </c>
      <c r="AF660" s="1">
        <v>10007</v>
      </c>
      <c r="AJ660" s="1">
        <v>2016</v>
      </c>
      <c r="AK660" s="1" t="s">
        <v>81</v>
      </c>
      <c r="AL660" s="1">
        <v>157</v>
      </c>
    </row>
    <row r="661" spans="1:38" x14ac:dyDescent="0.2">
      <c r="A661" s="2" t="str">
        <f>HYPERLINK("https://www.compass.com/listing/30-park-place-unit-65c-manhattan-ny-10007/29357587493391713/","30 Park Pl, Unit 65C")</f>
        <v>30 Park Pl, Unit 65C</v>
      </c>
      <c r="B661" s="2" t="str">
        <f t="shared" si="109"/>
        <v>30 Park Pl</v>
      </c>
      <c r="C661" s="1" t="s">
        <v>40</v>
      </c>
      <c r="D661" s="1" t="s">
        <v>41</v>
      </c>
      <c r="E661" s="3">
        <v>5345813</v>
      </c>
      <c r="F661" s="1">
        <v>2945.3515151515098</v>
      </c>
      <c r="G661" s="1">
        <v>5</v>
      </c>
      <c r="H661" s="1">
        <v>3</v>
      </c>
      <c r="I661" s="1">
        <v>3</v>
      </c>
      <c r="J661" s="1">
        <v>3</v>
      </c>
      <c r="K661" s="1">
        <v>3</v>
      </c>
      <c r="M661" s="4">
        <v>1815</v>
      </c>
      <c r="N661" s="1">
        <v>1479</v>
      </c>
      <c r="O661" s="1">
        <v>5249</v>
      </c>
      <c r="P661" s="1">
        <v>3770</v>
      </c>
      <c r="Q661" s="1" t="s">
        <v>42</v>
      </c>
      <c r="S661" s="1" t="s">
        <v>42</v>
      </c>
      <c r="T661" s="1" t="s">
        <v>203</v>
      </c>
      <c r="U661" s="1">
        <v>19</v>
      </c>
      <c r="V661" s="5">
        <v>43663</v>
      </c>
      <c r="W661" s="5">
        <v>41838</v>
      </c>
      <c r="X661" s="1">
        <v>5400000</v>
      </c>
      <c r="Y661" s="1">
        <v>5250000</v>
      </c>
      <c r="Z661" s="5">
        <v>41857</v>
      </c>
      <c r="AA661" s="1">
        <v>5345813</v>
      </c>
      <c r="AB661" s="1" t="s">
        <v>498</v>
      </c>
      <c r="AC661" s="5">
        <v>42810</v>
      </c>
      <c r="AF661" s="1">
        <v>10007</v>
      </c>
      <c r="AJ661" s="1">
        <v>2016</v>
      </c>
      <c r="AK661" s="1" t="s">
        <v>81</v>
      </c>
      <c r="AL661" s="1">
        <v>157</v>
      </c>
    </row>
    <row r="662" spans="1:38" x14ac:dyDescent="0.2">
      <c r="A662" s="2" t="str">
        <f>HYPERLINK("https://www.compass.com/listing/30-park-place-unit-68c-manhattan-ny-10007/29357590211202609/","30 Park Pl, Unit 68C")</f>
        <v>30 Park Pl, Unit 68C</v>
      </c>
      <c r="B662" s="2" t="str">
        <f t="shared" si="109"/>
        <v>30 Park Pl</v>
      </c>
      <c r="C662" s="1" t="s">
        <v>40</v>
      </c>
      <c r="D662" s="1" t="s">
        <v>41</v>
      </c>
      <c r="E662" s="3">
        <v>5854938</v>
      </c>
      <c r="F662" s="1">
        <v>3225.8611570247899</v>
      </c>
      <c r="G662" s="1">
        <v>5</v>
      </c>
      <c r="H662" s="1">
        <v>3</v>
      </c>
      <c r="I662" s="1">
        <v>3</v>
      </c>
      <c r="J662" s="1">
        <v>3</v>
      </c>
      <c r="K662" s="1">
        <v>3</v>
      </c>
      <c r="M662" s="4">
        <v>1815</v>
      </c>
      <c r="N662" s="1">
        <v>1487</v>
      </c>
      <c r="O662" s="1">
        <v>5278</v>
      </c>
      <c r="P662" s="1">
        <v>3791</v>
      </c>
      <c r="Q662" s="1" t="s">
        <v>42</v>
      </c>
      <c r="S662" s="1" t="s">
        <v>42</v>
      </c>
      <c r="T662" s="1" t="s">
        <v>203</v>
      </c>
      <c r="U662" s="1">
        <v>57</v>
      </c>
      <c r="V662" s="5">
        <v>43662</v>
      </c>
      <c r="W662" s="5">
        <v>41866</v>
      </c>
      <c r="X662" s="1">
        <v>5550000</v>
      </c>
      <c r="Y662" s="1">
        <v>5750000</v>
      </c>
      <c r="Z662" s="5">
        <v>41923</v>
      </c>
      <c r="AA662" s="1">
        <v>5854938</v>
      </c>
      <c r="AB662" s="1" t="s">
        <v>499</v>
      </c>
      <c r="AC662" s="5">
        <v>42837</v>
      </c>
      <c r="AF662" s="1">
        <v>10007</v>
      </c>
      <c r="AJ662" s="1">
        <v>2016</v>
      </c>
      <c r="AK662" s="1" t="s">
        <v>81</v>
      </c>
      <c r="AL662" s="1">
        <v>157</v>
      </c>
    </row>
    <row r="663" spans="1:38" x14ac:dyDescent="0.2">
      <c r="A663" s="2" t="str">
        <f>HYPERLINK("https://www.compass.com/listing/30-park-place-unit-70c-manhattan-ny-10007/29357591226224193/","30 Park Pl, Unit 70C")</f>
        <v>30 Park Pl, Unit 70C</v>
      </c>
      <c r="B663" s="2" t="str">
        <f t="shared" si="109"/>
        <v>30 Park Pl</v>
      </c>
      <c r="C663" s="1" t="s">
        <v>40</v>
      </c>
      <c r="D663" s="1" t="s">
        <v>41</v>
      </c>
      <c r="E663" s="3">
        <v>5600375</v>
      </c>
      <c r="F663" s="1">
        <v>3085.6060606060601</v>
      </c>
      <c r="G663" s="1">
        <v>5</v>
      </c>
      <c r="H663" s="1">
        <v>3</v>
      </c>
      <c r="I663" s="1">
        <v>3</v>
      </c>
      <c r="J663" s="1">
        <v>3</v>
      </c>
      <c r="K663" s="1">
        <v>3</v>
      </c>
      <c r="M663" s="4">
        <v>1815</v>
      </c>
      <c r="N663" s="1">
        <v>1492</v>
      </c>
      <c r="O663" s="1">
        <v>5296</v>
      </c>
      <c r="P663" s="1">
        <v>3804</v>
      </c>
      <c r="Q663" s="1" t="s">
        <v>42</v>
      </c>
      <c r="S663" s="1" t="s">
        <v>42</v>
      </c>
      <c r="T663" s="1" t="s">
        <v>203</v>
      </c>
      <c r="U663" s="1">
        <v>15</v>
      </c>
      <c r="V663" s="5">
        <v>43663</v>
      </c>
      <c r="W663" s="5">
        <v>41845</v>
      </c>
      <c r="X663" s="1">
        <v>5650000</v>
      </c>
      <c r="Y663" s="1">
        <v>5500000</v>
      </c>
      <c r="Z663" s="5">
        <v>41860</v>
      </c>
      <c r="AA663" s="1">
        <v>5600375</v>
      </c>
      <c r="AB663" s="1" t="s">
        <v>500</v>
      </c>
      <c r="AC663" s="5">
        <v>42822</v>
      </c>
      <c r="AF663" s="1">
        <v>10007</v>
      </c>
      <c r="AJ663" s="1">
        <v>2016</v>
      </c>
      <c r="AK663" s="1" t="s">
        <v>81</v>
      </c>
      <c r="AL663" s="1">
        <v>157</v>
      </c>
    </row>
    <row r="664" spans="1:38" x14ac:dyDescent="0.2">
      <c r="A664" s="2" t="str">
        <f>HYPERLINK("https://www.compass.com/listing/30-park-place-unit-50e-manhattan-ny-10007/129780692136564561/","30 Park Pl, Unit 50E")</f>
        <v>30 Park Pl, Unit 50E</v>
      </c>
      <c r="B664" s="2" t="str">
        <f t="shared" si="109"/>
        <v>30 Park Pl</v>
      </c>
      <c r="C664" s="1" t="s">
        <v>40</v>
      </c>
      <c r="D664" s="1" t="s">
        <v>41</v>
      </c>
      <c r="E664" s="3">
        <v>4750000</v>
      </c>
      <c r="F664" s="1">
        <v>2647.7146042363402</v>
      </c>
      <c r="G664" s="1">
        <v>6</v>
      </c>
      <c r="H664" s="1">
        <v>3</v>
      </c>
      <c r="I664" s="1">
        <v>3</v>
      </c>
      <c r="J664" s="1">
        <v>2.5</v>
      </c>
      <c r="M664" s="4">
        <v>1794</v>
      </c>
      <c r="N664" s="1">
        <v>1462</v>
      </c>
      <c r="O664" s="1">
        <v>5453</v>
      </c>
      <c r="P664" s="1">
        <v>3991</v>
      </c>
      <c r="Q664" s="1" t="s">
        <v>42</v>
      </c>
      <c r="S664" s="1" t="s">
        <v>42</v>
      </c>
      <c r="T664" s="1" t="s">
        <v>203</v>
      </c>
      <c r="U664" s="1">
        <v>45</v>
      </c>
      <c r="V664" s="5">
        <v>43548</v>
      </c>
      <c r="W664" s="5">
        <v>43429</v>
      </c>
      <c r="X664" s="1">
        <v>5680000</v>
      </c>
      <c r="Y664" s="1">
        <v>5300000</v>
      </c>
      <c r="AA664" s="1">
        <v>4750000</v>
      </c>
      <c r="AB664" s="1" t="s">
        <v>501</v>
      </c>
      <c r="AC664" s="5">
        <v>43546</v>
      </c>
      <c r="AF664" s="1">
        <v>10007</v>
      </c>
      <c r="AI664" s="1" t="s">
        <v>502</v>
      </c>
      <c r="AJ664" s="1">
        <v>2016</v>
      </c>
      <c r="AK664" s="1" t="s">
        <v>50</v>
      </c>
      <c r="AL664" s="1">
        <v>157</v>
      </c>
    </row>
    <row r="665" spans="1:38" x14ac:dyDescent="0.2">
      <c r="A665" s="2" t="str">
        <f>HYPERLINK("https://www.compass.com/listing/212-west-95th-street-unit-5c-manhattan-ny-10025/232357771499136961/","212 W 95th St, Unit 5C")</f>
        <v>212 W 95th St, Unit 5C</v>
      </c>
      <c r="B665" s="2" t="str">
        <f>HYPERLINK("https://www.compass.com/building/dahlia-manhattan-ny/282058919214351605/","Dahlia")</f>
        <v>Dahlia</v>
      </c>
      <c r="C665" s="1" t="s">
        <v>47</v>
      </c>
      <c r="D665" s="1" t="s">
        <v>41</v>
      </c>
      <c r="E665" s="3">
        <v>1945000</v>
      </c>
      <c r="F665" s="1">
        <v>1810.9869646182401</v>
      </c>
      <c r="G665" s="1">
        <v>4</v>
      </c>
      <c r="H665" s="1">
        <v>2</v>
      </c>
      <c r="I665" s="1">
        <v>2</v>
      </c>
      <c r="J665" s="1">
        <v>2</v>
      </c>
      <c r="K665" s="1">
        <v>2</v>
      </c>
      <c r="M665" s="4">
        <v>1074</v>
      </c>
      <c r="N665" s="1">
        <v>826.38</v>
      </c>
      <c r="O665" s="1">
        <v>1827.38</v>
      </c>
      <c r="P665" s="1">
        <v>1001</v>
      </c>
      <c r="Q665" s="1" t="s">
        <v>42</v>
      </c>
      <c r="S665" s="1" t="s">
        <v>42</v>
      </c>
      <c r="T665" s="1" t="s">
        <v>203</v>
      </c>
      <c r="U665" s="1">
        <v>1</v>
      </c>
      <c r="V665" s="5">
        <v>44069</v>
      </c>
      <c r="W665" s="5">
        <v>43571</v>
      </c>
      <c r="X665" s="1">
        <v>1945000</v>
      </c>
      <c r="Y665" s="1">
        <v>1970000</v>
      </c>
      <c r="Z665" s="5">
        <v>43573</v>
      </c>
      <c r="AA665" s="1">
        <v>1945000</v>
      </c>
      <c r="AB665" s="1" t="s">
        <v>503</v>
      </c>
      <c r="AC665" s="5">
        <v>44054</v>
      </c>
      <c r="AF665" s="1">
        <v>10025</v>
      </c>
      <c r="AI665" s="1" t="s">
        <v>52</v>
      </c>
      <c r="AJ665" s="1">
        <v>2019</v>
      </c>
      <c r="AK665" s="1" t="s">
        <v>87</v>
      </c>
      <c r="AL665" s="1">
        <v>38</v>
      </c>
    </row>
    <row r="666" spans="1:38" x14ac:dyDescent="0.2">
      <c r="A666" s="2" t="str">
        <f>HYPERLINK("https://www.compass.com/listing/30-park-place-unit-66b-manhattan-ny-10007/29357588122439185/","30 Park Pl, Unit 66B")</f>
        <v>30 Park Pl, Unit 66B</v>
      </c>
      <c r="B666" s="2" t="str">
        <f t="shared" ref="B666:B667" si="110">HYPERLINK("https://www.compass.com/building/30-park-pl-manhattan-ny-10007/281896912905317605/","30 Park Pl")</f>
        <v>30 Park Pl</v>
      </c>
      <c r="C666" s="1" t="s">
        <v>40</v>
      </c>
      <c r="D666" s="1" t="s">
        <v>41</v>
      </c>
      <c r="E666" s="3">
        <v>8527107</v>
      </c>
      <c r="F666" s="1">
        <v>3241.0136830102601</v>
      </c>
      <c r="G666" s="1">
        <v>5.5</v>
      </c>
      <c r="H666" s="1">
        <v>3</v>
      </c>
      <c r="I666" s="1">
        <v>3</v>
      </c>
      <c r="J666" s="1">
        <v>3.5</v>
      </c>
      <c r="K666" s="1">
        <v>3</v>
      </c>
      <c r="L666" s="1">
        <v>1</v>
      </c>
      <c r="M666" s="4">
        <v>2631</v>
      </c>
      <c r="N666" s="1">
        <v>2185</v>
      </c>
      <c r="O666" s="1">
        <v>7755</v>
      </c>
      <c r="P666" s="1">
        <v>5570</v>
      </c>
      <c r="Q666" s="1" t="s">
        <v>42</v>
      </c>
      <c r="S666" s="1" t="s">
        <v>42</v>
      </c>
      <c r="T666" s="1" t="s">
        <v>203</v>
      </c>
      <c r="U666" s="1">
        <v>55</v>
      </c>
      <c r="V666" s="5">
        <v>43663</v>
      </c>
      <c r="W666" s="5">
        <v>42502</v>
      </c>
      <c r="X666" s="1">
        <v>8450000</v>
      </c>
      <c r="Y666" s="1">
        <v>8450000</v>
      </c>
      <c r="Z666" s="5">
        <v>42704</v>
      </c>
      <c r="AA666" s="1">
        <v>8527107</v>
      </c>
      <c r="AB666" s="1" t="s">
        <v>504</v>
      </c>
      <c r="AC666" s="5">
        <v>42822</v>
      </c>
      <c r="AF666" s="1">
        <v>10007</v>
      </c>
      <c r="AJ666" s="1">
        <v>2016</v>
      </c>
      <c r="AK666" s="1" t="s">
        <v>81</v>
      </c>
      <c r="AL666" s="1">
        <v>157</v>
      </c>
    </row>
    <row r="667" spans="1:38" x14ac:dyDescent="0.2">
      <c r="A667" s="2" t="str">
        <f>HYPERLINK("https://www.compass.com/listing/30-park-place-unit-72b-manhattan-ny-10007/29357592526556593/","30 Park Pl, Unit 72B")</f>
        <v>30 Park Pl, Unit 72B</v>
      </c>
      <c r="B667" s="2" t="str">
        <f t="shared" si="110"/>
        <v>30 Park Pl</v>
      </c>
      <c r="C667" s="1" t="s">
        <v>40</v>
      </c>
      <c r="D667" s="1" t="s">
        <v>41</v>
      </c>
      <c r="E667" s="3">
        <v>8400125</v>
      </c>
      <c r="F667" s="1">
        <v>3192.7499049790899</v>
      </c>
      <c r="G667" s="1">
        <v>5.5</v>
      </c>
      <c r="H667" s="1">
        <v>3</v>
      </c>
      <c r="I667" s="1">
        <v>3</v>
      </c>
      <c r="J667" s="1">
        <v>3.5</v>
      </c>
      <c r="K667" s="1">
        <v>3</v>
      </c>
      <c r="L667" s="1">
        <v>1</v>
      </c>
      <c r="M667" s="4">
        <v>2631</v>
      </c>
      <c r="N667" s="1">
        <v>2201</v>
      </c>
      <c r="O667" s="1">
        <v>7811</v>
      </c>
      <c r="P667" s="1">
        <v>5610</v>
      </c>
      <c r="Q667" s="1" t="s">
        <v>42</v>
      </c>
      <c r="S667" s="1" t="s">
        <v>42</v>
      </c>
      <c r="T667" s="1" t="s">
        <v>203</v>
      </c>
      <c r="U667" s="1">
        <v>26</v>
      </c>
      <c r="V667" s="5">
        <v>43662</v>
      </c>
      <c r="W667" s="5">
        <v>41964</v>
      </c>
      <c r="X667" s="1">
        <v>8500000</v>
      </c>
      <c r="Y667" s="1">
        <v>8400125</v>
      </c>
      <c r="Z667" s="5">
        <v>41990</v>
      </c>
      <c r="AA667" s="1">
        <v>8400125</v>
      </c>
      <c r="AB667" s="1" t="s">
        <v>505</v>
      </c>
      <c r="AC667" s="5">
        <v>42849</v>
      </c>
      <c r="AF667" s="1">
        <v>10007</v>
      </c>
      <c r="AJ667" s="1">
        <v>2016</v>
      </c>
      <c r="AK667" s="1" t="s">
        <v>81</v>
      </c>
      <c r="AL667" s="1">
        <v>157</v>
      </c>
    </row>
    <row r="668" spans="1:38" x14ac:dyDescent="0.2">
      <c r="A668" s="2" t="str">
        <f>HYPERLINK("https://www.compass.com/listing/189-avenue-c-unit-2c-manhattan-ny-10009/29361144196090193/","189 Avenue C, Unit 2C")</f>
        <v>189 Avenue C, Unit 2C</v>
      </c>
      <c r="B668" s="2" t="str">
        <f>HYPERLINK("https://www.compass.com/building/the-calyx-manhattan-ny/426959097439640773/","The Calyx")</f>
        <v>The Calyx</v>
      </c>
      <c r="C668" s="1" t="s">
        <v>88</v>
      </c>
      <c r="D668" s="1" t="s">
        <v>41</v>
      </c>
      <c r="E668" s="3">
        <v>681159</v>
      </c>
      <c r="F668" s="1">
        <v>867.71847133757899</v>
      </c>
      <c r="G668" s="1">
        <v>2</v>
      </c>
      <c r="H668" s="1" t="s">
        <v>77</v>
      </c>
      <c r="I668" s="1">
        <v>1</v>
      </c>
      <c r="J668" s="1">
        <v>1</v>
      </c>
      <c r="K668" s="1">
        <v>1</v>
      </c>
      <c r="M668" s="1">
        <v>785</v>
      </c>
      <c r="N668" s="1">
        <v>587.12</v>
      </c>
      <c r="O668" s="1">
        <v>1015.24</v>
      </c>
      <c r="P668" s="1">
        <v>428.08333333333297</v>
      </c>
      <c r="Q668" s="1" t="s">
        <v>335</v>
      </c>
      <c r="S668" s="1" t="s">
        <v>336</v>
      </c>
      <c r="T668" s="1" t="s">
        <v>203</v>
      </c>
      <c r="U668" s="1">
        <v>21</v>
      </c>
      <c r="V668" s="5">
        <v>43678</v>
      </c>
      <c r="W668" s="5">
        <v>42404</v>
      </c>
      <c r="X668" s="1">
        <v>675000</v>
      </c>
      <c r="Y668" s="1">
        <v>675000</v>
      </c>
      <c r="Z668" s="5">
        <v>42425</v>
      </c>
      <c r="AA668" s="1">
        <v>681159</v>
      </c>
      <c r="AB668" s="1" t="s">
        <v>506</v>
      </c>
      <c r="AC668" s="5">
        <v>42504</v>
      </c>
      <c r="AF668" s="1">
        <v>10009</v>
      </c>
      <c r="AI668" s="1" t="s">
        <v>73</v>
      </c>
      <c r="AJ668" s="1">
        <v>2011</v>
      </c>
      <c r="AK668" s="1" t="s">
        <v>140</v>
      </c>
      <c r="AL668" s="1">
        <v>35</v>
      </c>
    </row>
    <row r="669" spans="1:38" x14ac:dyDescent="0.2">
      <c r="A669" s="2" t="str">
        <f>HYPERLINK("https://www.compass.com/listing/30-park-place-unit-71a-manhattan-ny-10007/18882321147033809/","30 Park Pl, Unit 71A")</f>
        <v>30 Park Pl, Unit 71A</v>
      </c>
      <c r="B669" s="2" t="str">
        <f t="shared" ref="B669:B670" si="111">HYPERLINK("https://www.compass.com/building/30-park-pl-manhattan-ny-10007/281896912905317605/","30 Park Pl")</f>
        <v>30 Park Pl</v>
      </c>
      <c r="C669" s="1" t="s">
        <v>40</v>
      </c>
      <c r="D669" s="1" t="s">
        <v>41</v>
      </c>
      <c r="E669" s="3">
        <v>11345000</v>
      </c>
      <c r="F669" s="1">
        <v>3067.0451473371099</v>
      </c>
      <c r="G669" s="1">
        <v>8</v>
      </c>
      <c r="H669" s="1">
        <v>4</v>
      </c>
      <c r="I669" s="1">
        <v>6</v>
      </c>
      <c r="J669" s="1">
        <v>5.5</v>
      </c>
      <c r="K669" s="1">
        <v>5</v>
      </c>
      <c r="L669" s="1">
        <v>1</v>
      </c>
      <c r="M669" s="4">
        <v>3699</v>
      </c>
      <c r="N669" s="1">
        <v>3332</v>
      </c>
      <c r="O669" s="1">
        <v>11866</v>
      </c>
      <c r="P669" s="1">
        <v>8534</v>
      </c>
      <c r="Q669" s="1" t="s">
        <v>42</v>
      </c>
      <c r="S669" s="1" t="s">
        <v>42</v>
      </c>
      <c r="T669" s="1" t="s">
        <v>203</v>
      </c>
      <c r="U669" s="1">
        <v>141</v>
      </c>
      <c r="V669" s="5">
        <v>43739</v>
      </c>
      <c r="W669" s="5">
        <v>43496</v>
      </c>
      <c r="X669" s="1">
        <v>13060000</v>
      </c>
      <c r="Y669" s="1">
        <v>13060000</v>
      </c>
      <c r="Z669" s="5">
        <v>43637</v>
      </c>
      <c r="AA669" s="1">
        <v>11345000</v>
      </c>
      <c r="AB669" s="1" t="s">
        <v>507</v>
      </c>
      <c r="AC669" s="5">
        <v>43643</v>
      </c>
      <c r="AF669" s="1">
        <v>10007</v>
      </c>
      <c r="AJ669" s="1">
        <v>2016</v>
      </c>
      <c r="AK669" s="1" t="s">
        <v>81</v>
      </c>
      <c r="AL669" s="1">
        <v>157</v>
      </c>
    </row>
    <row r="670" spans="1:38" x14ac:dyDescent="0.2">
      <c r="A670" s="2" t="str">
        <f>HYPERLINK("https://www.compass.com/listing/30-park-place-unit-69b-manhattan-ny-10007/29512135264470049/","30 Park Pl, Unit 69B")</f>
        <v>30 Park Pl, Unit 69B</v>
      </c>
      <c r="B670" s="2" t="str">
        <f t="shared" si="111"/>
        <v>30 Park Pl</v>
      </c>
      <c r="C670" s="1" t="s">
        <v>40</v>
      </c>
      <c r="D670" s="1" t="s">
        <v>41</v>
      </c>
      <c r="E670" s="3">
        <v>8000000</v>
      </c>
      <c r="F670" s="1">
        <v>3040.6689471683699</v>
      </c>
      <c r="G670" s="1">
        <v>6</v>
      </c>
      <c r="H670" s="1">
        <v>3</v>
      </c>
      <c r="I670" s="1">
        <v>4</v>
      </c>
      <c r="J670" s="1">
        <v>3.5</v>
      </c>
      <c r="K670" s="1">
        <v>3</v>
      </c>
      <c r="L670" s="1">
        <v>1</v>
      </c>
      <c r="M670" s="4">
        <v>2631</v>
      </c>
      <c r="N670" s="1">
        <v>2193</v>
      </c>
      <c r="O670" s="1">
        <v>7783</v>
      </c>
      <c r="P670" s="1">
        <v>5590</v>
      </c>
      <c r="Q670" s="1" t="s">
        <v>42</v>
      </c>
      <c r="S670" s="1" t="s">
        <v>42</v>
      </c>
      <c r="T670" s="1" t="s">
        <v>203</v>
      </c>
      <c r="U670" s="1">
        <v>52</v>
      </c>
      <c r="V670" s="5">
        <v>43731</v>
      </c>
      <c r="W670" s="5">
        <v>43310</v>
      </c>
      <c r="X670" s="1">
        <v>8600000</v>
      </c>
      <c r="Y670" s="1">
        <v>8000000</v>
      </c>
      <c r="Z670" s="5">
        <v>43362</v>
      </c>
      <c r="AA670" s="1">
        <v>8000000</v>
      </c>
      <c r="AB670" s="1" t="s">
        <v>508</v>
      </c>
      <c r="AC670" s="5">
        <v>43446</v>
      </c>
      <c r="AF670" s="1">
        <v>10007</v>
      </c>
      <c r="AJ670" s="1">
        <v>2016</v>
      </c>
      <c r="AK670" s="1" t="s">
        <v>81</v>
      </c>
      <c r="AL670" s="1">
        <v>157</v>
      </c>
    </row>
    <row r="671" spans="1:38" x14ac:dyDescent="0.2">
      <c r="A671" s="2" t="str">
        <f>HYPERLINK("https://www.compass.com/listing/175-west-95th-street-unit-23f-manhattan-ny-10025/29400335068033265/","175 W 95th St, Unit 23F")</f>
        <v>175 W 95th St, Unit 23F</v>
      </c>
      <c r="B671" s="2" t="str">
        <f>HYPERLINK("https://www.compass.com/building/175-w-95th-manhattan-ny/292876785429866517/","175 W 95th")</f>
        <v>175 W 95th</v>
      </c>
      <c r="C671" s="1" t="s">
        <v>47</v>
      </c>
      <c r="D671" s="1" t="s">
        <v>41</v>
      </c>
      <c r="E671" s="3">
        <v>1613926</v>
      </c>
      <c r="F671" s="1">
        <v>1700.6596417281301</v>
      </c>
      <c r="G671" s="1">
        <v>4</v>
      </c>
      <c r="H671" s="1">
        <v>2</v>
      </c>
      <c r="I671" s="1">
        <v>2</v>
      </c>
      <c r="J671" s="1">
        <v>2</v>
      </c>
      <c r="K671" s="1">
        <v>2</v>
      </c>
      <c r="M671" s="1">
        <v>949</v>
      </c>
      <c r="N671" s="1">
        <v>1083.8699999999999</v>
      </c>
      <c r="O671" s="1">
        <v>1525.19999999999</v>
      </c>
      <c r="P671" s="1">
        <v>441.33333333333297</v>
      </c>
      <c r="Q671" s="1" t="s">
        <v>42</v>
      </c>
      <c r="S671" s="1" t="s">
        <v>42</v>
      </c>
      <c r="T671" s="1" t="s">
        <v>203</v>
      </c>
      <c r="U671" s="1">
        <v>68</v>
      </c>
      <c r="V671" s="5">
        <v>43637</v>
      </c>
      <c r="W671" s="5">
        <v>42112</v>
      </c>
      <c r="X671" s="1">
        <v>1585000</v>
      </c>
      <c r="Y671" s="1">
        <v>1585000</v>
      </c>
      <c r="Z671" s="5">
        <v>42180</v>
      </c>
      <c r="AA671" s="1">
        <v>1613926</v>
      </c>
      <c r="AB671" s="1" t="s">
        <v>509</v>
      </c>
      <c r="AC671" s="5">
        <v>42314</v>
      </c>
      <c r="AF671" s="1">
        <v>10025</v>
      </c>
      <c r="AI671" s="1" t="s">
        <v>100</v>
      </c>
      <c r="AJ671" s="1">
        <v>1971</v>
      </c>
      <c r="AK671" s="1" t="s">
        <v>81</v>
      </c>
      <c r="AL671" s="1">
        <v>226</v>
      </c>
    </row>
    <row r="672" spans="1:38" x14ac:dyDescent="0.2">
      <c r="A672" s="2" t="str">
        <f>HYPERLINK("https://www.compass.com/listing/30-park-place-unit-65b-manhattan-ny-10007/29357587107417601/","30 Park Pl, Unit 65B")</f>
        <v>30 Park Pl, Unit 65B</v>
      </c>
      <c r="B672" s="2" t="str">
        <f t="shared" ref="B672:B674" si="112">HYPERLINK("https://www.compass.com/building/30-park-pl-manhattan-ny-10007/281896912905317605/","30 Park Pl")</f>
        <v>30 Park Pl</v>
      </c>
      <c r="C672" s="1" t="s">
        <v>40</v>
      </c>
      <c r="D672" s="1" t="s">
        <v>41</v>
      </c>
      <c r="E672" s="3">
        <v>7450000</v>
      </c>
      <c r="F672" s="1">
        <v>2831.6229570505502</v>
      </c>
      <c r="G672" s="1">
        <v>5</v>
      </c>
      <c r="H672" s="1">
        <v>3</v>
      </c>
      <c r="I672" s="1">
        <v>3</v>
      </c>
      <c r="J672" s="1">
        <v>3.5</v>
      </c>
      <c r="K672" s="1">
        <v>3</v>
      </c>
      <c r="L672" s="1">
        <v>1</v>
      </c>
      <c r="M672" s="4">
        <v>2631</v>
      </c>
      <c r="N672" s="1">
        <v>2183</v>
      </c>
      <c r="O672" s="1">
        <v>7747</v>
      </c>
      <c r="P672" s="1">
        <v>5564</v>
      </c>
      <c r="Q672" s="1" t="s">
        <v>42</v>
      </c>
      <c r="S672" s="1" t="s">
        <v>42</v>
      </c>
      <c r="T672" s="1" t="s">
        <v>203</v>
      </c>
      <c r="U672" s="1">
        <v>4</v>
      </c>
      <c r="V672" s="5">
        <v>43650</v>
      </c>
      <c r="W672" s="5">
        <v>43142</v>
      </c>
      <c r="X672" s="1">
        <v>8100000</v>
      </c>
      <c r="Y672" s="1">
        <v>7450000</v>
      </c>
      <c r="Z672" s="5">
        <v>43146</v>
      </c>
      <c r="AA672" s="1">
        <v>7450000</v>
      </c>
      <c r="AB672" s="1" t="s">
        <v>510</v>
      </c>
      <c r="AC672" s="5">
        <v>43168</v>
      </c>
      <c r="AF672" s="1">
        <v>10007</v>
      </c>
      <c r="AJ672" s="1">
        <v>2016</v>
      </c>
      <c r="AK672" s="1" t="s">
        <v>81</v>
      </c>
      <c r="AL672" s="1">
        <v>157</v>
      </c>
    </row>
    <row r="673" spans="1:38" x14ac:dyDescent="0.2">
      <c r="A673" s="2" t="str">
        <f>HYPERLINK("https://www.compass.com/listing/30-park-place-unit-61b-manhattan-ny-10007/50851494064359201/","30 Park Pl, Unit 61B")</f>
        <v>30 Park Pl, Unit 61B</v>
      </c>
      <c r="B673" s="2" t="str">
        <f t="shared" si="112"/>
        <v>30 Park Pl</v>
      </c>
      <c r="C673" s="1" t="s">
        <v>40</v>
      </c>
      <c r="D673" s="1" t="s">
        <v>41</v>
      </c>
      <c r="E673" s="3">
        <v>7129575</v>
      </c>
      <c r="F673" s="1">
        <v>3221.6787166741901</v>
      </c>
      <c r="G673" s="1">
        <v>6</v>
      </c>
      <c r="H673" s="1">
        <v>3</v>
      </c>
      <c r="I673" s="1">
        <v>3</v>
      </c>
      <c r="J673" s="1">
        <v>3</v>
      </c>
      <c r="K673" s="1">
        <v>3</v>
      </c>
      <c r="M673" s="4">
        <v>2213</v>
      </c>
      <c r="N673" s="1">
        <v>1816</v>
      </c>
      <c r="O673" s="1">
        <v>6445</v>
      </c>
      <c r="P673" s="1">
        <v>4629</v>
      </c>
      <c r="Q673" s="1" t="s">
        <v>42</v>
      </c>
      <c r="S673" s="1" t="s">
        <v>42</v>
      </c>
      <c r="T673" s="1" t="s">
        <v>203</v>
      </c>
      <c r="U673" s="1">
        <v>476</v>
      </c>
      <c r="V673" s="5">
        <v>43666</v>
      </c>
      <c r="W673" s="5">
        <v>41936</v>
      </c>
      <c r="X673" s="1">
        <v>7100000</v>
      </c>
      <c r="Y673" s="1">
        <v>7100000</v>
      </c>
      <c r="Z673" s="5">
        <v>42704</v>
      </c>
      <c r="AA673" s="1">
        <v>7129575</v>
      </c>
      <c r="AB673" s="1" t="s">
        <v>511</v>
      </c>
      <c r="AC673" s="5">
        <v>42752</v>
      </c>
      <c r="AF673" s="1">
        <v>10007</v>
      </c>
      <c r="AJ673" s="1">
        <v>2016</v>
      </c>
      <c r="AK673" s="1" t="s">
        <v>81</v>
      </c>
      <c r="AL673" s="1">
        <v>157</v>
      </c>
    </row>
    <row r="674" spans="1:38" x14ac:dyDescent="0.2">
      <c r="A674" s="2" t="str">
        <f>HYPERLINK("https://www.compass.com/listing/30-park-place-unit-63c-manhattan-ny-10007/29357584993488353/","30 Park Pl, Unit 63C")</f>
        <v>30 Park Pl, Unit 63C</v>
      </c>
      <c r="B674" s="2" t="str">
        <f t="shared" si="112"/>
        <v>30 Park Pl</v>
      </c>
      <c r="C674" s="1" t="s">
        <v>40</v>
      </c>
      <c r="D674" s="1" t="s">
        <v>41</v>
      </c>
      <c r="E674" s="3">
        <v>6022949</v>
      </c>
      <c r="F674" s="1">
        <v>3903.4018146467902</v>
      </c>
      <c r="G674" s="1">
        <v>4</v>
      </c>
      <c r="H674" s="1">
        <v>2</v>
      </c>
      <c r="I674" s="1">
        <v>2</v>
      </c>
      <c r="J674" s="1">
        <v>2</v>
      </c>
      <c r="K674" s="1">
        <v>2</v>
      </c>
      <c r="M674" s="4">
        <v>1543</v>
      </c>
      <c r="N674" s="1">
        <v>1249</v>
      </c>
      <c r="O674" s="1">
        <v>4434</v>
      </c>
      <c r="P674" s="1">
        <v>3185</v>
      </c>
      <c r="Q674" s="1" t="s">
        <v>42</v>
      </c>
      <c r="S674" s="1" t="s">
        <v>42</v>
      </c>
      <c r="T674" s="1" t="s">
        <v>203</v>
      </c>
      <c r="U674" s="1">
        <v>28</v>
      </c>
      <c r="V674" s="5">
        <v>43663</v>
      </c>
      <c r="W674" s="5">
        <v>42109</v>
      </c>
      <c r="X674" s="1">
        <v>5915000</v>
      </c>
      <c r="Y674" s="1">
        <v>5915000</v>
      </c>
      <c r="Z674" s="5">
        <v>42137</v>
      </c>
      <c r="AA674" s="1">
        <v>6022949</v>
      </c>
      <c r="AB674" s="1" t="s">
        <v>512</v>
      </c>
      <c r="AC674" s="5">
        <v>42780</v>
      </c>
      <c r="AF674" s="1">
        <v>10007</v>
      </c>
      <c r="AJ674" s="1">
        <v>2016</v>
      </c>
      <c r="AK674" s="1" t="s">
        <v>81</v>
      </c>
      <c r="AL674" s="1">
        <v>157</v>
      </c>
    </row>
    <row r="675" spans="1:38" x14ac:dyDescent="0.2">
      <c r="A675" s="2" t="str">
        <f>HYPERLINK("https://www.compass.com/listing/189-avenue-c-unit-6a-manhattan-ny-10009/29361147979347473/","189 Avenue C, Unit 6A")</f>
        <v>189 Avenue C, Unit 6A</v>
      </c>
      <c r="B675" s="2" t="str">
        <f>HYPERLINK("https://www.compass.com/building/the-calyx-manhattan-ny/426959097439640773/","The Calyx")</f>
        <v>The Calyx</v>
      </c>
      <c r="C675" s="1" t="s">
        <v>88</v>
      </c>
      <c r="D675" s="1" t="s">
        <v>41</v>
      </c>
      <c r="E675" s="3">
        <v>692410</v>
      </c>
      <c r="F675" s="1">
        <v>1031.9076005961199</v>
      </c>
      <c r="G675" s="1">
        <v>2</v>
      </c>
      <c r="H675" s="1" t="s">
        <v>77</v>
      </c>
      <c r="I675" s="1">
        <v>1</v>
      </c>
      <c r="J675" s="1">
        <v>1</v>
      </c>
      <c r="K675" s="1">
        <v>1</v>
      </c>
      <c r="M675" s="1">
        <v>671</v>
      </c>
      <c r="N675" s="1">
        <v>503</v>
      </c>
      <c r="O675" s="1">
        <v>972</v>
      </c>
      <c r="P675" s="1">
        <v>469</v>
      </c>
      <c r="Q675" s="1" t="s">
        <v>42</v>
      </c>
      <c r="S675" s="1" t="s">
        <v>42</v>
      </c>
      <c r="T675" s="1" t="s">
        <v>203</v>
      </c>
      <c r="U675" s="1">
        <v>72</v>
      </c>
      <c r="V675" s="5">
        <v>43633</v>
      </c>
      <c r="W675" s="5">
        <v>42903</v>
      </c>
      <c r="X675" s="1">
        <v>725000</v>
      </c>
      <c r="Y675" s="1">
        <v>725000</v>
      </c>
      <c r="Z675" s="5">
        <v>42975</v>
      </c>
      <c r="AA675" s="1">
        <v>692410</v>
      </c>
      <c r="AB675" s="1" t="s">
        <v>513</v>
      </c>
      <c r="AC675" s="5">
        <v>43146</v>
      </c>
      <c r="AF675" s="1">
        <v>10009</v>
      </c>
      <c r="AI675" s="1" t="s">
        <v>315</v>
      </c>
      <c r="AJ675" s="1">
        <v>2011</v>
      </c>
      <c r="AK675" s="1" t="s">
        <v>178</v>
      </c>
      <c r="AL675" s="1">
        <v>35</v>
      </c>
    </row>
    <row r="676" spans="1:38" x14ac:dyDescent="0.2">
      <c r="A676" s="2" t="str">
        <f>HYPERLINK("https://www.compass.com/listing/30-park-place-unit-52a-manhattan-ny-10007/29357569885605105/","30 Park Pl, Unit 52A")</f>
        <v>30 Park Pl, Unit 52A</v>
      </c>
      <c r="B676" s="2" t="str">
        <f t="shared" ref="B676:B682" si="113">HYPERLINK("https://www.compass.com/building/30-park-pl-manhattan-ny-10007/281896912905317605/","30 Park Pl")</f>
        <v>30 Park Pl</v>
      </c>
      <c r="C676" s="1" t="s">
        <v>40</v>
      </c>
      <c r="D676" s="1" t="s">
        <v>41</v>
      </c>
      <c r="E676" s="3">
        <v>8858775</v>
      </c>
      <c r="F676" s="1">
        <v>3160.4620049946402</v>
      </c>
      <c r="G676" s="1">
        <v>7</v>
      </c>
      <c r="H676" s="1">
        <v>4</v>
      </c>
      <c r="I676" s="1">
        <v>4</v>
      </c>
      <c r="J676" s="1">
        <v>4</v>
      </c>
      <c r="K676" s="1">
        <v>4</v>
      </c>
      <c r="M676" s="4">
        <v>2803</v>
      </c>
      <c r="N676" s="1">
        <v>2316</v>
      </c>
      <c r="O676" s="1">
        <v>8220</v>
      </c>
      <c r="P676" s="1">
        <v>5904</v>
      </c>
      <c r="Q676" s="1" t="s">
        <v>42</v>
      </c>
      <c r="S676" s="1" t="s">
        <v>42</v>
      </c>
      <c r="T676" s="1" t="s">
        <v>203</v>
      </c>
      <c r="U676" s="1">
        <v>857</v>
      </c>
      <c r="V676" s="5">
        <v>43672</v>
      </c>
      <c r="W676" s="5">
        <v>41845</v>
      </c>
      <c r="X676" s="1">
        <v>8700000</v>
      </c>
      <c r="Y676" s="1">
        <v>8700000</v>
      </c>
      <c r="AA676" s="1">
        <v>8858775</v>
      </c>
      <c r="AB676" s="1" t="s">
        <v>514</v>
      </c>
      <c r="AC676" s="5">
        <v>42702</v>
      </c>
      <c r="AF676" s="1">
        <v>10007</v>
      </c>
      <c r="AJ676" s="1">
        <v>2016</v>
      </c>
      <c r="AK676" s="1" t="s">
        <v>81</v>
      </c>
      <c r="AL676" s="1">
        <v>157</v>
      </c>
    </row>
    <row r="677" spans="1:38" x14ac:dyDescent="0.2">
      <c r="A677" s="2" t="str">
        <f>HYPERLINK("https://www.compass.com/listing/30-park-place-unit-58a-manhattan-ny-10007/29357577921894881/","30 Park Pl, Unit 58A")</f>
        <v>30 Park Pl, Unit 58A</v>
      </c>
      <c r="B677" s="2" t="str">
        <f t="shared" si="113"/>
        <v>30 Park Pl</v>
      </c>
      <c r="C677" s="1" t="s">
        <v>40</v>
      </c>
      <c r="D677" s="1" t="s">
        <v>41</v>
      </c>
      <c r="E677" s="3">
        <v>9673375</v>
      </c>
      <c r="F677" s="1">
        <v>3441.25755958733</v>
      </c>
      <c r="G677" s="1">
        <v>6.5</v>
      </c>
      <c r="H677" s="1">
        <v>4</v>
      </c>
      <c r="I677" s="1">
        <v>4</v>
      </c>
      <c r="J677" s="1">
        <v>4</v>
      </c>
      <c r="K677" s="1">
        <v>4</v>
      </c>
      <c r="M677" s="4">
        <v>2811</v>
      </c>
      <c r="N677" s="1">
        <v>2353</v>
      </c>
      <c r="O677" s="1">
        <v>8350</v>
      </c>
      <c r="P677" s="1">
        <v>5997</v>
      </c>
      <c r="Q677" s="1" t="s">
        <v>42</v>
      </c>
      <c r="S677" s="1" t="s">
        <v>42</v>
      </c>
      <c r="T677" s="1" t="s">
        <v>203</v>
      </c>
      <c r="U677" s="1">
        <v>51</v>
      </c>
      <c r="V677" s="5">
        <v>43668</v>
      </c>
      <c r="W677" s="5">
        <v>42096</v>
      </c>
      <c r="X677" s="1">
        <v>9500000</v>
      </c>
      <c r="Y677" s="1">
        <v>9500000</v>
      </c>
      <c r="Z677" s="5">
        <v>42147</v>
      </c>
      <c r="AA677" s="1">
        <v>9673375</v>
      </c>
      <c r="AB677" s="1" t="s">
        <v>515</v>
      </c>
      <c r="AC677" s="5">
        <v>42752</v>
      </c>
      <c r="AF677" s="1">
        <v>10007</v>
      </c>
      <c r="AJ677" s="1">
        <v>2016</v>
      </c>
      <c r="AK677" s="1" t="s">
        <v>81</v>
      </c>
      <c r="AL677" s="1">
        <v>157</v>
      </c>
    </row>
    <row r="678" spans="1:38" x14ac:dyDescent="0.2">
      <c r="A678" s="2" t="str">
        <f>HYPERLINK("https://www.compass.com/listing/30-park-place-unit-59a-manhattan-ny-10007/29357579272457617/","30 Park Pl, Unit 59A")</f>
        <v>30 Park Pl, Unit 59A</v>
      </c>
      <c r="B678" s="2" t="str">
        <f t="shared" si="113"/>
        <v>30 Park Pl</v>
      </c>
      <c r="C678" s="1" t="s">
        <v>40</v>
      </c>
      <c r="D678" s="1" t="s">
        <v>41</v>
      </c>
      <c r="E678" s="3">
        <v>8900000</v>
      </c>
      <c r="F678" s="1">
        <v>3166.1330487371001</v>
      </c>
      <c r="G678" s="1">
        <v>7</v>
      </c>
      <c r="H678" s="1">
        <v>4</v>
      </c>
      <c r="I678" s="1">
        <v>4</v>
      </c>
      <c r="J678" s="1">
        <v>4.5</v>
      </c>
      <c r="K678" s="1">
        <v>4</v>
      </c>
      <c r="L678" s="1">
        <v>1</v>
      </c>
      <c r="M678" s="4">
        <v>2811</v>
      </c>
      <c r="N678" s="1">
        <v>2358</v>
      </c>
      <c r="O678" s="1">
        <v>8369</v>
      </c>
      <c r="P678" s="1">
        <v>6011</v>
      </c>
      <c r="Q678" s="1" t="s">
        <v>42</v>
      </c>
      <c r="S678" s="1" t="s">
        <v>42</v>
      </c>
      <c r="T678" s="1" t="s">
        <v>203</v>
      </c>
      <c r="U678" s="1">
        <v>265</v>
      </c>
      <c r="V678" s="5">
        <v>43605</v>
      </c>
      <c r="W678" s="5">
        <v>42146</v>
      </c>
      <c r="X678" s="1">
        <v>9600000</v>
      </c>
      <c r="Y678" s="1">
        <v>8900000</v>
      </c>
      <c r="Z678" s="5">
        <v>42846</v>
      </c>
      <c r="AA678" s="1">
        <v>8900000</v>
      </c>
      <c r="AB678" s="1" t="s">
        <v>516</v>
      </c>
      <c r="AC678" s="5">
        <v>42962</v>
      </c>
      <c r="AF678" s="1">
        <v>10007</v>
      </c>
      <c r="AJ678" s="1">
        <v>2016</v>
      </c>
      <c r="AK678" s="1" t="s">
        <v>81</v>
      </c>
      <c r="AL678" s="1">
        <v>157</v>
      </c>
    </row>
    <row r="679" spans="1:38" x14ac:dyDescent="0.2">
      <c r="A679" s="2" t="str">
        <f>HYPERLINK("https://www.compass.com/listing/30-park-place-unit-61a-manhattan-ny-10007/29357582560795185/","30 Park Pl, Unit 61A")</f>
        <v>30 Park Pl, Unit 61A</v>
      </c>
      <c r="B679" s="2" t="str">
        <f t="shared" si="113"/>
        <v>30 Park Pl</v>
      </c>
      <c r="C679" s="1" t="s">
        <v>40</v>
      </c>
      <c r="D679" s="1" t="s">
        <v>41</v>
      </c>
      <c r="E679" s="3">
        <v>9745200</v>
      </c>
      <c r="F679" s="1">
        <v>3466.8089647812099</v>
      </c>
      <c r="G679" s="1">
        <v>7</v>
      </c>
      <c r="H679" s="1">
        <v>4</v>
      </c>
      <c r="I679" s="1">
        <v>4</v>
      </c>
      <c r="J679" s="1">
        <v>4.5</v>
      </c>
      <c r="K679" s="1">
        <v>4</v>
      </c>
      <c r="L679" s="1">
        <v>1</v>
      </c>
      <c r="M679" s="4">
        <v>2811</v>
      </c>
      <c r="N679" s="1">
        <v>2368</v>
      </c>
      <c r="O679" s="1">
        <v>8406</v>
      </c>
      <c r="P679" s="1">
        <v>6038</v>
      </c>
      <c r="Q679" s="1" t="s">
        <v>42</v>
      </c>
      <c r="S679" s="1" t="s">
        <v>42</v>
      </c>
      <c r="T679" s="1" t="s">
        <v>203</v>
      </c>
      <c r="U679" s="1">
        <v>2</v>
      </c>
      <c r="V679" s="5">
        <v>43663</v>
      </c>
      <c r="W679" s="5">
        <v>41900</v>
      </c>
      <c r="X679" s="1">
        <v>9600000</v>
      </c>
      <c r="Y679" s="1">
        <v>9600000</v>
      </c>
      <c r="Z679" s="5">
        <v>41902</v>
      </c>
      <c r="AA679" s="1">
        <v>9745200</v>
      </c>
      <c r="AB679" s="1" t="s">
        <v>517</v>
      </c>
      <c r="AC679" s="5">
        <v>42767</v>
      </c>
      <c r="AF679" s="1">
        <v>10007</v>
      </c>
      <c r="AJ679" s="1">
        <v>2016</v>
      </c>
      <c r="AK679" s="1" t="s">
        <v>81</v>
      </c>
      <c r="AL679" s="1">
        <v>157</v>
      </c>
    </row>
    <row r="680" spans="1:38" x14ac:dyDescent="0.2">
      <c r="A680" s="2" t="str">
        <f>HYPERLINK("https://www.compass.com/listing/30-park-place-unit-76a-manhattan-ny-10007/29357595689061873/","30 Park Pl, Unit 76A")</f>
        <v>30 Park Pl, Unit 76A</v>
      </c>
      <c r="B680" s="2" t="str">
        <f t="shared" si="113"/>
        <v>30 Park Pl</v>
      </c>
      <c r="C680" s="1" t="s">
        <v>40</v>
      </c>
      <c r="D680" s="1" t="s">
        <v>41</v>
      </c>
      <c r="E680" s="3">
        <v>17210250</v>
      </c>
      <c r="F680" s="1">
        <v>4355.9225512528401</v>
      </c>
      <c r="G680" s="1">
        <v>8</v>
      </c>
      <c r="H680" s="1">
        <v>4</v>
      </c>
      <c r="I680" s="1">
        <v>4</v>
      </c>
      <c r="J680" s="1">
        <v>4.5</v>
      </c>
      <c r="K680" s="1">
        <v>4</v>
      </c>
      <c r="L680" s="1">
        <v>1</v>
      </c>
      <c r="M680" s="4">
        <v>3951</v>
      </c>
      <c r="N680" s="1">
        <v>3566</v>
      </c>
      <c r="O680" s="1">
        <v>12656</v>
      </c>
      <c r="P680" s="1">
        <v>9090</v>
      </c>
      <c r="Q680" s="1" t="s">
        <v>42</v>
      </c>
      <c r="S680" s="1" t="s">
        <v>42</v>
      </c>
      <c r="T680" s="1" t="s">
        <v>203</v>
      </c>
      <c r="U680" s="1">
        <v>1</v>
      </c>
      <c r="V680" s="5">
        <v>43663</v>
      </c>
      <c r="W680" s="5">
        <v>41914</v>
      </c>
      <c r="X680" s="1">
        <v>18500000</v>
      </c>
      <c r="Y680" s="1">
        <v>17000000</v>
      </c>
      <c r="Z680" s="5">
        <v>41915</v>
      </c>
      <c r="AA680" s="1">
        <v>17210250</v>
      </c>
      <c r="AB680" s="1" t="s">
        <v>518</v>
      </c>
      <c r="AC680" s="5">
        <v>42817</v>
      </c>
      <c r="AF680" s="1">
        <v>10007</v>
      </c>
      <c r="AJ680" s="1">
        <v>2016</v>
      </c>
      <c r="AK680" s="1" t="s">
        <v>81</v>
      </c>
      <c r="AL680" s="1">
        <v>157</v>
      </c>
    </row>
    <row r="681" spans="1:38" x14ac:dyDescent="0.2">
      <c r="A681" s="2" t="str">
        <f>HYPERLINK("https://www.compass.com/listing/30-park-place-unit-63b-manhattan-ny-10007/29512133930756897/","30 Park Pl, Unit 63B")</f>
        <v>30 Park Pl, Unit 63B</v>
      </c>
      <c r="B681" s="2" t="str">
        <f t="shared" si="113"/>
        <v>30 Park Pl</v>
      </c>
      <c r="C681" s="1" t="s">
        <v>40</v>
      </c>
      <c r="D681" s="1" t="s">
        <v>41</v>
      </c>
      <c r="E681" s="3">
        <v>6300000</v>
      </c>
      <c r="F681" s="1">
        <v>2846.8142792589201</v>
      </c>
      <c r="G681" s="1">
        <v>5</v>
      </c>
      <c r="H681" s="1">
        <v>3</v>
      </c>
      <c r="I681" s="1">
        <v>4</v>
      </c>
      <c r="J681" s="1">
        <v>3.5</v>
      </c>
      <c r="K681" s="1">
        <v>3</v>
      </c>
      <c r="L681" s="1">
        <v>1</v>
      </c>
      <c r="M681" s="4">
        <v>2213</v>
      </c>
      <c r="N681" s="1">
        <v>1821</v>
      </c>
      <c r="O681" s="1">
        <v>6504</v>
      </c>
      <c r="P681" s="1">
        <v>4683</v>
      </c>
      <c r="Q681" s="1" t="s">
        <v>42</v>
      </c>
      <c r="S681" s="1" t="s">
        <v>42</v>
      </c>
      <c r="T681" s="1" t="s">
        <v>203</v>
      </c>
      <c r="U681" s="1">
        <v>90</v>
      </c>
      <c r="V681" s="5">
        <v>43780</v>
      </c>
      <c r="W681" s="5">
        <v>43259</v>
      </c>
      <c r="X681" s="1">
        <v>7200000</v>
      </c>
      <c r="Y681" s="1">
        <v>6300000</v>
      </c>
      <c r="Z681" s="5">
        <v>43349</v>
      </c>
      <c r="AA681" s="1">
        <v>6300000</v>
      </c>
      <c r="AB681" s="1" t="s">
        <v>519</v>
      </c>
      <c r="AC681" s="5">
        <v>43441</v>
      </c>
      <c r="AF681" s="1">
        <v>10007</v>
      </c>
      <c r="AJ681" s="1">
        <v>2016</v>
      </c>
      <c r="AK681" s="1" t="s">
        <v>81</v>
      </c>
      <c r="AL681" s="1">
        <v>157</v>
      </c>
    </row>
    <row r="682" spans="1:38" x14ac:dyDescent="0.2">
      <c r="A682" s="2" t="str">
        <f>HYPERLINK("https://www.compass.com/listing/30-park-place-unit-63a-manhattan-ny-10007/71638007651845185/","30 Park Pl, Unit 63A")</f>
        <v>30 Park Pl, Unit 63A</v>
      </c>
      <c r="B682" s="2" t="str">
        <f t="shared" si="113"/>
        <v>30 Park Pl</v>
      </c>
      <c r="C682" s="1" t="s">
        <v>40</v>
      </c>
      <c r="D682" s="1" t="s">
        <v>41</v>
      </c>
      <c r="E682" s="3">
        <v>8454563</v>
      </c>
      <c r="F682" s="1">
        <v>3016.2550838387401</v>
      </c>
      <c r="G682" s="1">
        <v>7</v>
      </c>
      <c r="H682" s="1">
        <v>4</v>
      </c>
      <c r="I682" s="1">
        <v>5</v>
      </c>
      <c r="J682" s="1">
        <v>4.5</v>
      </c>
      <c r="K682" s="1">
        <v>4</v>
      </c>
      <c r="L682" s="1">
        <v>1</v>
      </c>
      <c r="M682" s="4">
        <v>2803</v>
      </c>
      <c r="N682" s="1">
        <v>2374</v>
      </c>
      <c r="O682" s="1">
        <v>8425</v>
      </c>
      <c r="P682" s="1">
        <v>6051</v>
      </c>
      <c r="Q682" s="1" t="s">
        <v>42</v>
      </c>
      <c r="S682" s="1" t="s">
        <v>42</v>
      </c>
      <c r="T682" s="1" t="s">
        <v>203</v>
      </c>
      <c r="V682" s="5">
        <v>43694</v>
      </c>
      <c r="W682" s="5">
        <v>43349</v>
      </c>
      <c r="X682" s="1">
        <v>10000000</v>
      </c>
      <c r="Y682" s="1">
        <v>8450000</v>
      </c>
      <c r="Z682" s="5">
        <v>43349</v>
      </c>
      <c r="AA682" s="1">
        <v>8454563</v>
      </c>
      <c r="AB682" s="1" t="s">
        <v>520</v>
      </c>
      <c r="AC682" s="5">
        <v>43435</v>
      </c>
      <c r="AF682" s="1">
        <v>10007</v>
      </c>
      <c r="AJ682" s="1">
        <v>2016</v>
      </c>
      <c r="AK682" s="1" t="s">
        <v>81</v>
      </c>
      <c r="AL682" s="1">
        <v>157</v>
      </c>
    </row>
    <row r="683" spans="1:38" x14ac:dyDescent="0.2">
      <c r="A683" s="2" t="str">
        <f>HYPERLINK("https://www.compass.com/listing/189-avenue-c-unit-2a-manhattan-ny-10009/29361143600494017/","189 Avenue C, Unit 2A")</f>
        <v>189 Avenue C, Unit 2A</v>
      </c>
      <c r="B683" s="2" t="str">
        <f>HYPERLINK("https://www.compass.com/building/the-calyx-manhattan-ny/426959097439640773/","The Calyx")</f>
        <v>The Calyx</v>
      </c>
      <c r="C683" s="1" t="s">
        <v>88</v>
      </c>
      <c r="D683" s="1" t="s">
        <v>41</v>
      </c>
      <c r="E683" s="3">
        <v>549855</v>
      </c>
      <c r="F683" s="1">
        <v>892.62175324675297</v>
      </c>
      <c r="G683" s="1">
        <v>1</v>
      </c>
      <c r="H683" s="1" t="s">
        <v>77</v>
      </c>
      <c r="I683" s="1">
        <v>1</v>
      </c>
      <c r="J683" s="1">
        <v>1</v>
      </c>
      <c r="M683" s="1">
        <v>616</v>
      </c>
      <c r="N683" s="1">
        <v>433</v>
      </c>
      <c r="O683" s="1">
        <v>749</v>
      </c>
      <c r="P683" s="1">
        <v>316</v>
      </c>
      <c r="Q683" s="1" t="s">
        <v>42</v>
      </c>
      <c r="S683" s="1" t="s">
        <v>42</v>
      </c>
      <c r="T683" s="1" t="s">
        <v>203</v>
      </c>
      <c r="U683" s="1">
        <v>28</v>
      </c>
      <c r="V683" s="5">
        <v>42442</v>
      </c>
      <c r="W683" s="5">
        <v>42263</v>
      </c>
      <c r="X683" s="1">
        <v>725000</v>
      </c>
      <c r="Y683" s="1">
        <v>725000</v>
      </c>
      <c r="AA683" s="1">
        <v>549855</v>
      </c>
      <c r="AB683" s="1" t="s">
        <v>521</v>
      </c>
      <c r="AC683" s="5">
        <v>42487</v>
      </c>
      <c r="AF683" s="1">
        <v>10009</v>
      </c>
      <c r="AI683" s="1" t="s">
        <v>73</v>
      </c>
      <c r="AJ683" s="1">
        <v>2011</v>
      </c>
      <c r="AL683" s="1">
        <v>35</v>
      </c>
    </row>
    <row r="684" spans="1:38" x14ac:dyDescent="0.2">
      <c r="A684" s="2" t="str">
        <f>HYPERLINK("https://www.compass.com/listing/30-park-place-unit-40d-manhattan-ny-10007/29357554853222481/","30 Park Pl, Unit 40D")</f>
        <v>30 Park Pl, Unit 40D</v>
      </c>
      <c r="B684" s="2" t="str">
        <f>HYPERLINK("https://www.compass.com/building/30-park-pl-manhattan-ny-10007/281896912905317605/","30 Park Pl")</f>
        <v>30 Park Pl</v>
      </c>
      <c r="C684" s="1" t="s">
        <v>40</v>
      </c>
      <c r="D684" s="1" t="s">
        <v>41</v>
      </c>
      <c r="E684" s="3">
        <v>5091250</v>
      </c>
      <c r="F684" s="1">
        <v>2247.7924944812298</v>
      </c>
      <c r="G684" s="1">
        <v>5.5</v>
      </c>
      <c r="H684" s="1">
        <v>3</v>
      </c>
      <c r="I684" s="1">
        <v>3</v>
      </c>
      <c r="J684" s="1">
        <v>3</v>
      </c>
      <c r="K684" s="1">
        <v>3</v>
      </c>
      <c r="M684" s="4">
        <v>2265</v>
      </c>
      <c r="N684" s="1">
        <v>1777</v>
      </c>
      <c r="O684" s="1">
        <v>6308</v>
      </c>
      <c r="P684" s="1">
        <v>4531</v>
      </c>
      <c r="Q684" s="1" t="s">
        <v>42</v>
      </c>
      <c r="S684" s="1" t="s">
        <v>42</v>
      </c>
      <c r="T684" s="1" t="s">
        <v>203</v>
      </c>
      <c r="V684" s="5">
        <v>43672</v>
      </c>
      <c r="W684" s="5">
        <v>41831</v>
      </c>
      <c r="X684" s="1">
        <v>5650000</v>
      </c>
      <c r="Y684" s="1">
        <v>5000000</v>
      </c>
      <c r="Z684" s="5">
        <v>41831</v>
      </c>
      <c r="AA684" s="1">
        <v>5091250</v>
      </c>
      <c r="AB684" s="1" t="s">
        <v>522</v>
      </c>
      <c r="AC684" s="5">
        <v>42684</v>
      </c>
      <c r="AF684" s="1">
        <v>10007</v>
      </c>
      <c r="AJ684" s="1">
        <v>2016</v>
      </c>
      <c r="AK684" s="1" t="s">
        <v>81</v>
      </c>
      <c r="AL684" s="1">
        <v>157</v>
      </c>
    </row>
    <row r="685" spans="1:38" x14ac:dyDescent="0.2">
      <c r="A685" s="2" t="str">
        <f>HYPERLINK("https://www.compass.com/listing/212-west-95th-street-unit-5a-manhattan-ny-10025/233902481602636497/","212 W 95th St, Unit 5A")</f>
        <v>212 W 95th St, Unit 5A</v>
      </c>
      <c r="B685" s="2" t="str">
        <f t="shared" ref="B685:B686" si="114">HYPERLINK("https://www.compass.com/building/dahlia-manhattan-ny/282058919214351605/","Dahlia")</f>
        <v>Dahlia</v>
      </c>
      <c r="C685" s="1" t="s">
        <v>47</v>
      </c>
      <c r="D685" s="1" t="s">
        <v>41</v>
      </c>
      <c r="E685" s="3">
        <v>2130000</v>
      </c>
      <c r="F685" s="1">
        <v>1920.6492335437299</v>
      </c>
      <c r="G685" s="1">
        <v>4</v>
      </c>
      <c r="H685" s="1">
        <v>2</v>
      </c>
      <c r="I685" s="1">
        <v>2</v>
      </c>
      <c r="J685" s="1">
        <v>2</v>
      </c>
      <c r="K685" s="1">
        <v>2</v>
      </c>
      <c r="M685" s="4">
        <v>1109</v>
      </c>
      <c r="N685" s="1">
        <v>889.33</v>
      </c>
      <c r="O685" s="1">
        <v>1966.24</v>
      </c>
      <c r="P685" s="1">
        <v>1076.9166666666599</v>
      </c>
      <c r="Q685" s="1" t="s">
        <v>42</v>
      </c>
      <c r="S685" s="1" t="s">
        <v>42</v>
      </c>
      <c r="T685" s="1" t="s">
        <v>203</v>
      </c>
      <c r="U685" s="1">
        <v>26</v>
      </c>
      <c r="V685" s="5">
        <v>44062</v>
      </c>
      <c r="W685" s="5">
        <v>43574</v>
      </c>
      <c r="X685" s="1">
        <v>2085000</v>
      </c>
      <c r="Y685" s="1">
        <v>2150000</v>
      </c>
      <c r="Z685" s="5">
        <v>43600</v>
      </c>
      <c r="AA685" s="1">
        <v>2130000</v>
      </c>
      <c r="AB685" s="1" t="s">
        <v>523</v>
      </c>
      <c r="AC685" s="5">
        <v>44048</v>
      </c>
      <c r="AF685" s="1">
        <v>10025</v>
      </c>
      <c r="AI685" s="1" t="s">
        <v>52</v>
      </c>
      <c r="AJ685" s="1">
        <v>2019</v>
      </c>
      <c r="AK685" s="1" t="s">
        <v>87</v>
      </c>
      <c r="AL685" s="1">
        <v>38</v>
      </c>
    </row>
    <row r="686" spans="1:38" x14ac:dyDescent="0.2">
      <c r="A686" s="2" t="str">
        <f>HYPERLINK("https://www.compass.com/listing/212-west-95th-street-unit-4a-manhattan-ny-10025/251353174999411745/","212 W 95th St, Unit 4A")</f>
        <v>212 W 95th St, Unit 4A</v>
      </c>
      <c r="B686" s="2" t="str">
        <f t="shared" si="114"/>
        <v>Dahlia</v>
      </c>
      <c r="C686" s="1" t="s">
        <v>47</v>
      </c>
      <c r="D686" s="1" t="s">
        <v>41</v>
      </c>
      <c r="E686" s="3">
        <v>2139345</v>
      </c>
      <c r="F686" s="1">
        <v>1923.8714028776899</v>
      </c>
      <c r="G686" s="1">
        <v>4</v>
      </c>
      <c r="H686" s="1">
        <v>2</v>
      </c>
      <c r="I686" s="1">
        <v>2</v>
      </c>
      <c r="J686" s="1">
        <v>2</v>
      </c>
      <c r="K686" s="1">
        <v>2</v>
      </c>
      <c r="M686" s="4">
        <v>1112</v>
      </c>
      <c r="N686" s="1">
        <v>876</v>
      </c>
      <c r="O686" s="1">
        <v>1936.7</v>
      </c>
      <c r="P686" s="1">
        <v>1060.6666666666599</v>
      </c>
      <c r="Q686" s="1" t="s">
        <v>42</v>
      </c>
      <c r="S686" s="1" t="s">
        <v>42</v>
      </c>
      <c r="T686" s="1" t="s">
        <v>203</v>
      </c>
      <c r="U686" s="1">
        <v>101</v>
      </c>
      <c r="V686" s="5">
        <v>44040</v>
      </c>
      <c r="W686" s="5">
        <v>43536</v>
      </c>
      <c r="X686" s="1">
        <v>2055000</v>
      </c>
      <c r="Y686" s="1">
        <v>2120000</v>
      </c>
      <c r="Z686" s="5">
        <v>43655</v>
      </c>
      <c r="AA686" s="1">
        <v>2139345</v>
      </c>
      <c r="AB686" s="1" t="s">
        <v>524</v>
      </c>
      <c r="AC686" s="5">
        <v>44027</v>
      </c>
      <c r="AF686" s="1">
        <v>10025</v>
      </c>
      <c r="AI686" s="1" t="s">
        <v>52</v>
      </c>
      <c r="AJ686" s="1">
        <v>2019</v>
      </c>
      <c r="AK686" s="1" t="s">
        <v>87</v>
      </c>
      <c r="AL686" s="1">
        <v>38</v>
      </c>
    </row>
    <row r="687" spans="1:38" x14ac:dyDescent="0.2">
      <c r="A687" s="2" t="str">
        <f>HYPERLINK("https://www.compass.com/listing/30-park-place-unit-ph80-manhattan-ny-10007/29357597039532849/","30 Park Pl, Unit PH80")</f>
        <v>30 Park Pl, Unit PH80</v>
      </c>
      <c r="B687" s="2" t="str">
        <f>HYPERLINK("https://www.compass.com/building/30-park-pl-manhattan-ny-10007/281896912905317605/","30 Park Pl")</f>
        <v>30 Park Pl</v>
      </c>
      <c r="C687" s="1" t="s">
        <v>40</v>
      </c>
      <c r="D687" s="1" t="s">
        <v>41</v>
      </c>
      <c r="E687" s="3">
        <v>32643671</v>
      </c>
      <c r="F687" s="1">
        <v>5261.7135718891004</v>
      </c>
      <c r="G687" s="1">
        <v>11</v>
      </c>
      <c r="H687" s="1">
        <v>6</v>
      </c>
      <c r="I687" s="1">
        <v>7</v>
      </c>
      <c r="J687" s="1">
        <v>7.5</v>
      </c>
      <c r="K687" s="1">
        <v>7</v>
      </c>
      <c r="L687" s="1">
        <v>1</v>
      </c>
      <c r="M687" s="4">
        <v>6204</v>
      </c>
      <c r="N687" s="1">
        <v>6059</v>
      </c>
      <c r="O687" s="1">
        <v>21503</v>
      </c>
      <c r="P687" s="1">
        <v>15444</v>
      </c>
      <c r="Q687" s="1" t="s">
        <v>42</v>
      </c>
      <c r="S687" s="1" t="s">
        <v>42</v>
      </c>
      <c r="T687" s="1" t="s">
        <v>203</v>
      </c>
      <c r="V687" s="5">
        <v>43642</v>
      </c>
      <c r="W687" s="5">
        <v>42713</v>
      </c>
      <c r="X687" s="1">
        <v>32058600</v>
      </c>
      <c r="Y687" s="1">
        <v>32058600</v>
      </c>
      <c r="Z687" s="5">
        <v>42713</v>
      </c>
      <c r="AA687" s="1">
        <v>32643671</v>
      </c>
      <c r="AB687" s="1" t="s">
        <v>525</v>
      </c>
      <c r="AC687" s="5">
        <v>43208</v>
      </c>
      <c r="AF687" s="1">
        <v>10007</v>
      </c>
      <c r="AI687" s="1" t="s">
        <v>193</v>
      </c>
      <c r="AJ687" s="1">
        <v>2016</v>
      </c>
      <c r="AK687" s="1" t="s">
        <v>81</v>
      </c>
      <c r="AL687" s="1">
        <v>157</v>
      </c>
    </row>
    <row r="688" spans="1:38" x14ac:dyDescent="0.2">
      <c r="A688" s="2" t="str">
        <f>HYPERLINK("https://www.compass.com/listing/212-west-95th-street-unit-7c-manhattan-ny-10025/468084189255317473/","212 W 95th St, Unit 7C")</f>
        <v>212 W 95th St, Unit 7C</v>
      </c>
      <c r="B688" s="2" t="str">
        <f>HYPERLINK("https://www.compass.com/building/dahlia-manhattan-ny/282058919214351605/","Dahlia")</f>
        <v>Dahlia</v>
      </c>
      <c r="C688" s="1" t="s">
        <v>47</v>
      </c>
      <c r="D688" s="1" t="s">
        <v>41</v>
      </c>
      <c r="E688" s="3">
        <v>1998500</v>
      </c>
      <c r="F688" s="1">
        <v>1847.0425138632099</v>
      </c>
      <c r="G688" s="1">
        <v>4</v>
      </c>
      <c r="H688" s="1">
        <v>2</v>
      </c>
      <c r="I688" s="1">
        <v>2</v>
      </c>
      <c r="J688" s="1">
        <v>2</v>
      </c>
      <c r="K688" s="1">
        <v>2</v>
      </c>
      <c r="M688" s="4">
        <v>1082</v>
      </c>
      <c r="N688" s="1">
        <v>862.44</v>
      </c>
      <c r="O688" s="1">
        <v>1906.92</v>
      </c>
      <c r="P688" s="1">
        <v>1044.5</v>
      </c>
      <c r="Q688" s="1" t="s">
        <v>42</v>
      </c>
      <c r="S688" s="1" t="s">
        <v>42</v>
      </c>
      <c r="T688" s="1" t="s">
        <v>203</v>
      </c>
      <c r="V688" s="5">
        <v>44058</v>
      </c>
      <c r="W688" s="5">
        <v>43896</v>
      </c>
      <c r="X688" s="1">
        <v>2050000</v>
      </c>
      <c r="Y688" s="1">
        <v>2050000</v>
      </c>
      <c r="Z688" s="5">
        <v>43896</v>
      </c>
      <c r="AA688" s="1">
        <v>1998500</v>
      </c>
      <c r="AB688" s="1" t="s">
        <v>526</v>
      </c>
      <c r="AC688" s="5">
        <v>44056</v>
      </c>
      <c r="AF688" s="1">
        <v>10025</v>
      </c>
      <c r="AI688" s="1" t="s">
        <v>52</v>
      </c>
      <c r="AJ688" s="1">
        <v>2019</v>
      </c>
      <c r="AK688" s="1" t="s">
        <v>87</v>
      </c>
      <c r="AL688" s="1">
        <v>38</v>
      </c>
    </row>
    <row r="689" spans="1:38" x14ac:dyDescent="0.2">
      <c r="A689" s="2" t="str">
        <f>HYPERLINK("https://www.compass.com/listing/30-park-place-unit-45a-manhattan-ny-10007/29357561413209041/","30 Park Pl, Unit 45A")</f>
        <v>30 Park Pl, Unit 45A</v>
      </c>
      <c r="B689" s="2" t="str">
        <f t="shared" ref="B689:B697" si="115">HYPERLINK("https://www.compass.com/building/30-park-pl-manhattan-ny-10007/281896912905317605/","30 Park Pl")</f>
        <v>30 Park Pl</v>
      </c>
      <c r="C689" s="1" t="s">
        <v>40</v>
      </c>
      <c r="D689" s="1" t="s">
        <v>41</v>
      </c>
      <c r="E689" s="3">
        <v>6619538</v>
      </c>
      <c r="F689" s="1">
        <v>2983.11762054979</v>
      </c>
      <c r="G689" s="1">
        <v>6</v>
      </c>
      <c r="H689" s="1">
        <v>3</v>
      </c>
      <c r="I689" s="1">
        <v>3</v>
      </c>
      <c r="J689" s="1">
        <v>3</v>
      </c>
      <c r="K689" s="1">
        <v>3</v>
      </c>
      <c r="M689" s="4">
        <v>2219</v>
      </c>
      <c r="N689" s="1">
        <v>1810</v>
      </c>
      <c r="O689" s="1">
        <v>6423</v>
      </c>
      <c r="P689" s="1">
        <v>4613</v>
      </c>
      <c r="Q689" s="1" t="s">
        <v>42</v>
      </c>
      <c r="S689" s="1" t="s">
        <v>42</v>
      </c>
      <c r="T689" s="1" t="s">
        <v>203</v>
      </c>
      <c r="U689" s="1">
        <v>19</v>
      </c>
      <c r="V689" s="5">
        <v>43665</v>
      </c>
      <c r="W689" s="5">
        <v>41845</v>
      </c>
      <c r="X689" s="1">
        <v>6550000</v>
      </c>
      <c r="Y689" s="1">
        <v>6550000</v>
      </c>
      <c r="Z689" s="5">
        <v>41864</v>
      </c>
      <c r="AA689" s="1">
        <v>6619538</v>
      </c>
      <c r="AB689" s="1" t="s">
        <v>527</v>
      </c>
      <c r="AC689" s="5">
        <v>42600</v>
      </c>
      <c r="AF689" s="1">
        <v>10007</v>
      </c>
      <c r="AJ689" s="1">
        <v>2016</v>
      </c>
      <c r="AK689" s="1" t="s">
        <v>81</v>
      </c>
      <c r="AL689" s="1">
        <v>157</v>
      </c>
    </row>
    <row r="690" spans="1:38" x14ac:dyDescent="0.2">
      <c r="A690" s="2" t="str">
        <f>HYPERLINK("https://www.compass.com/listing/30-park-place-unit-50d-manhattan-ny-10007/29357568635705649/","30 Park Pl, Unit 50D")</f>
        <v>30 Park Pl, Unit 50D</v>
      </c>
      <c r="B690" s="2" t="str">
        <f t="shared" si="115"/>
        <v>30 Park Pl</v>
      </c>
      <c r="C690" s="1" t="s">
        <v>40</v>
      </c>
      <c r="D690" s="1" t="s">
        <v>41</v>
      </c>
      <c r="E690" s="3">
        <v>6262238</v>
      </c>
      <c r="F690" s="1">
        <v>2764.7849889624699</v>
      </c>
      <c r="G690" s="1">
        <v>6</v>
      </c>
      <c r="H690" s="1">
        <v>3</v>
      </c>
      <c r="I690" s="1">
        <v>3</v>
      </c>
      <c r="J690" s="1">
        <v>3</v>
      </c>
      <c r="K690" s="1">
        <v>3</v>
      </c>
      <c r="M690" s="4">
        <v>2265</v>
      </c>
      <c r="N690" s="1">
        <v>1804</v>
      </c>
      <c r="O690" s="1">
        <v>6401</v>
      </c>
      <c r="P690" s="1">
        <v>4597</v>
      </c>
      <c r="Q690" s="1" t="s">
        <v>42</v>
      </c>
      <c r="S690" s="1" t="s">
        <v>42</v>
      </c>
      <c r="T690" s="1" t="s">
        <v>203</v>
      </c>
      <c r="U690" s="1">
        <v>1</v>
      </c>
      <c r="V690" s="5">
        <v>43672</v>
      </c>
      <c r="W690" s="5">
        <v>41885</v>
      </c>
      <c r="X690" s="1">
        <v>6450000</v>
      </c>
      <c r="Y690" s="1">
        <v>6150000</v>
      </c>
      <c r="Z690" s="5">
        <v>41886</v>
      </c>
      <c r="AA690" s="1">
        <v>6262238</v>
      </c>
      <c r="AB690" s="1" t="s">
        <v>528</v>
      </c>
      <c r="AC690" s="5">
        <v>42691</v>
      </c>
      <c r="AF690" s="1">
        <v>10007</v>
      </c>
      <c r="AJ690" s="1">
        <v>2016</v>
      </c>
      <c r="AK690" s="1" t="s">
        <v>81</v>
      </c>
      <c r="AL690" s="1">
        <v>157</v>
      </c>
    </row>
    <row r="691" spans="1:38" x14ac:dyDescent="0.2">
      <c r="A691" s="2" t="str">
        <f>HYPERLINK("https://www.compass.com/listing/30-park-place-unit-53b-manhattan-ny-10007/29357571588495713/","30 Park Pl, Unit 53B")</f>
        <v>30 Park Pl, Unit 53B</v>
      </c>
      <c r="B691" s="2" t="str">
        <f t="shared" si="115"/>
        <v>30 Park Pl</v>
      </c>
      <c r="C691" s="1" t="s">
        <v>40</v>
      </c>
      <c r="D691" s="1" t="s">
        <v>41</v>
      </c>
      <c r="E691" s="3">
        <v>6250000</v>
      </c>
      <c r="F691" s="1">
        <v>2824.2205151378198</v>
      </c>
      <c r="G691" s="1">
        <v>6</v>
      </c>
      <c r="H691" s="1">
        <v>3</v>
      </c>
      <c r="I691" s="1">
        <v>3</v>
      </c>
      <c r="J691" s="1">
        <v>3</v>
      </c>
      <c r="K691" s="1">
        <v>3</v>
      </c>
      <c r="M691" s="4">
        <v>2213</v>
      </c>
      <c r="N691" s="1">
        <v>1795</v>
      </c>
      <c r="O691" s="1">
        <v>6371</v>
      </c>
      <c r="P691" s="1">
        <v>4576</v>
      </c>
      <c r="Q691" s="1" t="s">
        <v>42</v>
      </c>
      <c r="S691" s="1" t="s">
        <v>42</v>
      </c>
      <c r="T691" s="1" t="s">
        <v>203</v>
      </c>
      <c r="U691" s="1">
        <v>15</v>
      </c>
      <c r="V691" s="5">
        <v>43663</v>
      </c>
      <c r="W691" s="5">
        <v>41845</v>
      </c>
      <c r="X691" s="1">
        <v>6400000</v>
      </c>
      <c r="Y691" s="1">
        <v>6250000</v>
      </c>
      <c r="Z691" s="5">
        <v>41860</v>
      </c>
      <c r="AA691" s="1">
        <v>6250000</v>
      </c>
      <c r="AB691" s="1" t="s">
        <v>529</v>
      </c>
      <c r="AC691" s="5">
        <v>42795</v>
      </c>
      <c r="AF691" s="1">
        <v>10007</v>
      </c>
      <c r="AJ691" s="1">
        <v>2016</v>
      </c>
      <c r="AK691" s="1" t="s">
        <v>81</v>
      </c>
      <c r="AL691" s="1">
        <v>157</v>
      </c>
    </row>
    <row r="692" spans="1:38" x14ac:dyDescent="0.2">
      <c r="A692" s="2" t="str">
        <f>HYPERLINK("https://www.compass.com/listing/30-park-place-unit-58b-manhattan-ny-10007/29357578249047425/","30 Park Pl, Unit 58B")</f>
        <v>30 Park Pl, Unit 58B</v>
      </c>
      <c r="B692" s="2" t="str">
        <f t="shared" si="115"/>
        <v>30 Park Pl</v>
      </c>
      <c r="C692" s="1" t="s">
        <v>40</v>
      </c>
      <c r="D692" s="1" t="s">
        <v>41</v>
      </c>
      <c r="E692" s="3">
        <v>6771363</v>
      </c>
      <c r="F692" s="1">
        <v>3059.8115680072301</v>
      </c>
      <c r="G692" s="1">
        <v>6</v>
      </c>
      <c r="H692" s="1">
        <v>3</v>
      </c>
      <c r="I692" s="1">
        <v>3</v>
      </c>
      <c r="J692" s="1">
        <v>3</v>
      </c>
      <c r="K692" s="1">
        <v>3</v>
      </c>
      <c r="M692" s="4">
        <v>2213</v>
      </c>
      <c r="N692" s="1">
        <v>1808</v>
      </c>
      <c r="O692" s="1">
        <v>6418</v>
      </c>
      <c r="P692" s="1">
        <v>4610</v>
      </c>
      <c r="Q692" s="1" t="s">
        <v>42</v>
      </c>
      <c r="S692" s="1" t="s">
        <v>42</v>
      </c>
      <c r="T692" s="1" t="s">
        <v>203</v>
      </c>
      <c r="U692" s="1">
        <v>9</v>
      </c>
      <c r="V692" s="5">
        <v>43668</v>
      </c>
      <c r="W692" s="5">
        <v>41857</v>
      </c>
      <c r="X692" s="1">
        <v>6650000</v>
      </c>
      <c r="Y692" s="1">
        <v>6650000</v>
      </c>
      <c r="Z692" s="5">
        <v>41866</v>
      </c>
      <c r="AA692" s="1">
        <v>6771363</v>
      </c>
      <c r="AB692" s="1" t="s">
        <v>530</v>
      </c>
      <c r="AC692" s="5">
        <v>42760</v>
      </c>
      <c r="AF692" s="1">
        <v>10007</v>
      </c>
      <c r="AJ692" s="1">
        <v>2016</v>
      </c>
      <c r="AK692" s="1" t="s">
        <v>81</v>
      </c>
      <c r="AL692" s="1">
        <v>157</v>
      </c>
    </row>
    <row r="693" spans="1:38" x14ac:dyDescent="0.2">
      <c r="A693" s="2" t="str">
        <f>HYPERLINK("https://www.compass.com/listing/30-park-place-unit-59b-manhattan-ny-10007/29357579608100081/","30 Park Pl, Unit 59B")</f>
        <v>30 Park Pl, Unit 59B</v>
      </c>
      <c r="B693" s="2" t="str">
        <f t="shared" si="115"/>
        <v>30 Park Pl</v>
      </c>
      <c r="C693" s="1" t="s">
        <v>40</v>
      </c>
      <c r="D693" s="1" t="s">
        <v>41</v>
      </c>
      <c r="E693" s="3">
        <v>6975013</v>
      </c>
      <c r="F693" s="1">
        <v>3151.8359692724798</v>
      </c>
      <c r="G693" s="1">
        <v>6</v>
      </c>
      <c r="H693" s="1">
        <v>3</v>
      </c>
      <c r="I693" s="1">
        <v>3</v>
      </c>
      <c r="J693" s="1">
        <v>3</v>
      </c>
      <c r="K693" s="1">
        <v>3</v>
      </c>
      <c r="M693" s="4">
        <v>2213</v>
      </c>
      <c r="N693" s="1">
        <v>1811</v>
      </c>
      <c r="O693" s="1">
        <v>6427</v>
      </c>
      <c r="P693" s="1">
        <v>4616</v>
      </c>
      <c r="Q693" s="1" t="s">
        <v>42</v>
      </c>
      <c r="S693" s="1" t="s">
        <v>42</v>
      </c>
      <c r="T693" s="1" t="s">
        <v>203</v>
      </c>
      <c r="U693" s="1">
        <v>42</v>
      </c>
      <c r="V693" s="5">
        <v>43664</v>
      </c>
      <c r="W693" s="5">
        <v>41919</v>
      </c>
      <c r="X693" s="1">
        <v>6850000</v>
      </c>
      <c r="Y693" s="1">
        <v>6850000</v>
      </c>
      <c r="Z693" s="5">
        <v>41961</v>
      </c>
      <c r="AA693" s="1">
        <v>6975013</v>
      </c>
      <c r="AB693" s="1" t="s">
        <v>531</v>
      </c>
      <c r="AC693" s="5">
        <v>42760</v>
      </c>
      <c r="AF693" s="1">
        <v>10007</v>
      </c>
      <c r="AJ693" s="1">
        <v>2016</v>
      </c>
      <c r="AK693" s="1" t="s">
        <v>81</v>
      </c>
      <c r="AL693" s="1">
        <v>157</v>
      </c>
    </row>
    <row r="694" spans="1:38" x14ac:dyDescent="0.2">
      <c r="A694" s="2" t="str">
        <f>HYPERLINK("https://www.compass.com/listing/30-park-place-unit-62b-manhattan-ny-10007/29357583953300945/","30 Park Pl, Unit 62B")</f>
        <v>30 Park Pl, Unit 62B</v>
      </c>
      <c r="B694" s="2" t="str">
        <f t="shared" si="115"/>
        <v>30 Park Pl</v>
      </c>
      <c r="C694" s="1" t="s">
        <v>40</v>
      </c>
      <c r="D694" s="1" t="s">
        <v>41</v>
      </c>
      <c r="E694" s="3">
        <v>7150000</v>
      </c>
      <c r="F694" s="1">
        <v>3230.9082693176601</v>
      </c>
      <c r="G694" s="1">
        <v>5.5</v>
      </c>
      <c r="H694" s="1">
        <v>3</v>
      </c>
      <c r="I694" s="1">
        <v>3</v>
      </c>
      <c r="J694" s="1">
        <v>3</v>
      </c>
      <c r="K694" s="1">
        <v>3</v>
      </c>
      <c r="M694" s="4">
        <v>2213</v>
      </c>
      <c r="N694" s="1">
        <v>1819</v>
      </c>
      <c r="O694" s="1">
        <v>6456</v>
      </c>
      <c r="P694" s="1">
        <v>4637</v>
      </c>
      <c r="Q694" s="1" t="s">
        <v>42</v>
      </c>
      <c r="S694" s="1" t="s">
        <v>42</v>
      </c>
      <c r="T694" s="1" t="s">
        <v>203</v>
      </c>
      <c r="V694" s="5">
        <v>43664</v>
      </c>
      <c r="W694" s="5">
        <v>42420</v>
      </c>
      <c r="X694" s="1">
        <v>7150000</v>
      </c>
      <c r="Y694" s="1">
        <v>7150000</v>
      </c>
      <c r="Z694" s="5">
        <v>42420</v>
      </c>
      <c r="AA694" s="1">
        <v>7150000</v>
      </c>
      <c r="AB694" s="1" t="s">
        <v>532</v>
      </c>
      <c r="AC694" s="5">
        <v>42765</v>
      </c>
      <c r="AF694" s="1">
        <v>10007</v>
      </c>
      <c r="AJ694" s="1">
        <v>2016</v>
      </c>
      <c r="AK694" s="1" t="s">
        <v>81</v>
      </c>
      <c r="AL694" s="1">
        <v>157</v>
      </c>
    </row>
    <row r="695" spans="1:38" x14ac:dyDescent="0.2">
      <c r="A695" s="2" t="str">
        <f>HYPERLINK("https://www.compass.com/listing/30-park-place-unit-71c-manhattan-ny-10007/29357591872150225/","30 Park Pl, Unit 71C")</f>
        <v>30 Park Pl, Unit 71C</v>
      </c>
      <c r="B695" s="2" t="str">
        <f t="shared" si="115"/>
        <v>30 Park Pl</v>
      </c>
      <c r="C695" s="1" t="s">
        <v>40</v>
      </c>
      <c r="D695" s="1" t="s">
        <v>41</v>
      </c>
      <c r="E695" s="3">
        <v>6567713</v>
      </c>
      <c r="F695" s="1">
        <v>3618.5743801652802</v>
      </c>
      <c r="G695" s="1">
        <v>5</v>
      </c>
      <c r="H695" s="1">
        <v>3</v>
      </c>
      <c r="I695" s="1">
        <v>3</v>
      </c>
      <c r="J695" s="1">
        <v>3</v>
      </c>
      <c r="K695" s="1">
        <v>3</v>
      </c>
      <c r="M695" s="4">
        <v>1815</v>
      </c>
      <c r="N695" s="1">
        <v>1495</v>
      </c>
      <c r="O695" s="1">
        <v>5305</v>
      </c>
      <c r="P695" s="1">
        <v>3810</v>
      </c>
      <c r="Q695" s="1" t="s">
        <v>42</v>
      </c>
      <c r="S695" s="1" t="s">
        <v>42</v>
      </c>
      <c r="T695" s="1" t="s">
        <v>203</v>
      </c>
      <c r="U695" s="1">
        <v>141</v>
      </c>
      <c r="V695" s="5">
        <v>43606</v>
      </c>
      <c r="W695" s="5">
        <v>41995</v>
      </c>
      <c r="X695" s="1">
        <v>6450000</v>
      </c>
      <c r="Y695" s="1">
        <v>6450000</v>
      </c>
      <c r="Z695" s="5">
        <v>42136</v>
      </c>
      <c r="AA695" s="1">
        <v>6567712.5</v>
      </c>
      <c r="AB695" s="1" t="s">
        <v>533</v>
      </c>
      <c r="AC695" s="5">
        <v>42852</v>
      </c>
      <c r="AF695" s="1">
        <v>10007</v>
      </c>
      <c r="AJ695" s="1">
        <v>2016</v>
      </c>
      <c r="AK695" s="1" t="s">
        <v>81</v>
      </c>
      <c r="AL695" s="1">
        <v>157</v>
      </c>
    </row>
    <row r="696" spans="1:38" x14ac:dyDescent="0.2">
      <c r="A696" s="2" t="str">
        <f>HYPERLINK("https://www.compass.com/listing/30-park-place-unit-72c-manhattan-ny-10007/29357592870394593/","30 Park Pl, Unit 72C")</f>
        <v>30 Park Pl, Unit 72C</v>
      </c>
      <c r="B696" s="2" t="str">
        <f t="shared" si="115"/>
        <v>30 Park Pl</v>
      </c>
      <c r="C696" s="1" t="s">
        <v>40</v>
      </c>
      <c r="D696" s="1" t="s">
        <v>41</v>
      </c>
      <c r="E696" s="3">
        <v>6313150</v>
      </c>
      <c r="F696" s="1">
        <v>3478.3195592286502</v>
      </c>
      <c r="G696" s="1">
        <v>5</v>
      </c>
      <c r="H696" s="1">
        <v>3</v>
      </c>
      <c r="I696" s="1">
        <v>3</v>
      </c>
      <c r="J696" s="1">
        <v>3</v>
      </c>
      <c r="K696" s="1">
        <v>3</v>
      </c>
      <c r="M696" s="4">
        <v>1815</v>
      </c>
      <c r="N696" s="1">
        <v>1498</v>
      </c>
      <c r="O696" s="1">
        <v>5316</v>
      </c>
      <c r="P696" s="1">
        <v>3818</v>
      </c>
      <c r="Q696" s="1" t="s">
        <v>42</v>
      </c>
      <c r="S696" s="1" t="s">
        <v>42</v>
      </c>
      <c r="T696" s="1" t="s">
        <v>203</v>
      </c>
      <c r="U696" s="1">
        <v>96</v>
      </c>
      <c r="V696" s="5">
        <v>43663</v>
      </c>
      <c r="W696" s="5">
        <v>41914</v>
      </c>
      <c r="X696" s="1">
        <v>6200000</v>
      </c>
      <c r="Y696" s="1">
        <v>6200000</v>
      </c>
      <c r="Z696" s="5">
        <v>42010</v>
      </c>
      <c r="AA696" s="1">
        <v>6313150</v>
      </c>
      <c r="AB696" s="1" t="s">
        <v>534</v>
      </c>
      <c r="AC696" s="5">
        <v>42857</v>
      </c>
      <c r="AF696" s="1">
        <v>10007</v>
      </c>
      <c r="AJ696" s="1">
        <v>2016</v>
      </c>
      <c r="AK696" s="1" t="s">
        <v>81</v>
      </c>
      <c r="AL696" s="1">
        <v>157</v>
      </c>
    </row>
    <row r="697" spans="1:38" x14ac:dyDescent="0.2">
      <c r="A697" s="2" t="str">
        <f>HYPERLINK("https://www.compass.com/listing/30-park-place-unit-73c-manhattan-ny-10007/29357593994468081/","30 Park Pl, Unit 73C")</f>
        <v>30 Park Pl, Unit 73C</v>
      </c>
      <c r="B697" s="2" t="str">
        <f t="shared" si="115"/>
        <v>30 Park Pl</v>
      </c>
      <c r="C697" s="1" t="s">
        <v>40</v>
      </c>
      <c r="D697" s="1" t="s">
        <v>41</v>
      </c>
      <c r="E697" s="3">
        <v>6670000</v>
      </c>
      <c r="F697" s="1">
        <v>3674.9311294765798</v>
      </c>
      <c r="G697" s="1">
        <v>5</v>
      </c>
      <c r="H697" s="1">
        <v>3</v>
      </c>
      <c r="I697" s="1">
        <v>3</v>
      </c>
      <c r="J697" s="1">
        <v>3</v>
      </c>
      <c r="K697" s="1">
        <v>3</v>
      </c>
      <c r="M697" s="4">
        <v>1815</v>
      </c>
      <c r="N697" s="1">
        <v>1500</v>
      </c>
      <c r="O697" s="1">
        <v>5324</v>
      </c>
      <c r="P697" s="1">
        <v>3824</v>
      </c>
      <c r="Q697" s="1" t="s">
        <v>42</v>
      </c>
      <c r="S697" s="1" t="s">
        <v>42</v>
      </c>
      <c r="T697" s="1" t="s">
        <v>203</v>
      </c>
      <c r="U697" s="1">
        <v>625</v>
      </c>
      <c r="V697" s="5">
        <v>43670</v>
      </c>
      <c r="W697" s="5">
        <v>42227</v>
      </c>
      <c r="X697" s="1">
        <v>6850000</v>
      </c>
      <c r="Y697" s="1">
        <v>6670000</v>
      </c>
      <c r="AA697" s="1">
        <v>6670000</v>
      </c>
      <c r="AB697" s="1" t="s">
        <v>535</v>
      </c>
      <c r="AC697" s="5">
        <v>42852</v>
      </c>
      <c r="AF697" s="1">
        <v>10007</v>
      </c>
      <c r="AJ697" s="1">
        <v>2016</v>
      </c>
      <c r="AK697" s="1" t="s">
        <v>81</v>
      </c>
      <c r="AL697" s="1">
        <v>157</v>
      </c>
    </row>
    <row r="698" spans="1:38" x14ac:dyDescent="0.2">
      <c r="A698" s="2" t="str">
        <f>HYPERLINK("https://www.compass.com/listing/101-west-78th-street-unit-8c-manhattan-ny-10024/783278639440437233/","101 W 78th St, Unit 8C")</f>
        <v>101 W 78th St, Unit 8C</v>
      </c>
      <c r="B698" s="2" t="str">
        <f>HYPERLINK("https://www.compass.com/building/101-w-78th-st-manhattan-ny-10024/281961405798754085/","101 W 78th St")</f>
        <v>101 W 78th St</v>
      </c>
      <c r="C698" s="1" t="s">
        <v>47</v>
      </c>
      <c r="D698" s="1" t="s">
        <v>41</v>
      </c>
      <c r="E698" s="3">
        <v>1627359</v>
      </c>
      <c r="F698" s="1">
        <v>2223.16769125683</v>
      </c>
      <c r="G698" s="1">
        <v>2</v>
      </c>
      <c r="H698" s="1">
        <v>1</v>
      </c>
      <c r="I698" s="1">
        <v>1</v>
      </c>
      <c r="J698" s="1">
        <v>1</v>
      </c>
      <c r="M698" s="1">
        <v>732</v>
      </c>
      <c r="N698" s="1">
        <v>1042</v>
      </c>
      <c r="O698" s="1">
        <v>1644</v>
      </c>
      <c r="P698" s="1">
        <v>602</v>
      </c>
      <c r="Q698" s="1" t="s">
        <v>42</v>
      </c>
      <c r="S698" s="1" t="s">
        <v>42</v>
      </c>
      <c r="T698" s="1" t="s">
        <v>203</v>
      </c>
      <c r="U698" s="1">
        <v>42</v>
      </c>
      <c r="V698" s="5">
        <v>43137</v>
      </c>
      <c r="W698" s="5">
        <v>42809</v>
      </c>
      <c r="X698" s="1">
        <v>1595000</v>
      </c>
      <c r="Y698" s="1">
        <v>1595000</v>
      </c>
      <c r="Z698" s="5">
        <v>42852</v>
      </c>
      <c r="AA698" s="1">
        <v>1627358.75</v>
      </c>
      <c r="AB698" s="1" t="s">
        <v>536</v>
      </c>
      <c r="AC698" s="5">
        <v>43131</v>
      </c>
      <c r="AF698" s="1">
        <v>10024</v>
      </c>
      <c r="AJ698" s="1">
        <v>1886</v>
      </c>
      <c r="AK698" s="1" t="s">
        <v>537</v>
      </c>
      <c r="AL698" s="1">
        <v>21</v>
      </c>
    </row>
    <row r="699" spans="1:38" x14ac:dyDescent="0.2">
      <c r="A699" s="2" t="str">
        <f>HYPERLINK("https://www.compass.com/listing/360-central-park-west-unit-6c-manhattan-ny-10025/203466204113877409/","360 Central Park W, Unit 6C")</f>
        <v>360 Central Park W, Unit 6C</v>
      </c>
      <c r="B699" s="2" t="str">
        <f>HYPERLINK("https://www.compass.com/building/360-central-park-west-manhattan-ny/281971555427243781/","360 Central Park West")</f>
        <v>360 Central Park West</v>
      </c>
      <c r="C699" s="1" t="s">
        <v>47</v>
      </c>
      <c r="D699" s="1" t="s">
        <v>41</v>
      </c>
      <c r="E699" s="3">
        <v>2950000</v>
      </c>
      <c r="F699" s="1">
        <v>1900.7731958762799</v>
      </c>
      <c r="G699" s="1">
        <v>4</v>
      </c>
      <c r="H699" s="1">
        <v>2</v>
      </c>
      <c r="I699" s="1">
        <v>2</v>
      </c>
      <c r="J699" s="1">
        <v>2</v>
      </c>
      <c r="K699" s="1">
        <v>2</v>
      </c>
      <c r="M699" s="4">
        <v>1552</v>
      </c>
      <c r="N699" s="1">
        <v>1759</v>
      </c>
      <c r="O699" s="1">
        <v>2897</v>
      </c>
      <c r="P699" s="1">
        <v>1138</v>
      </c>
      <c r="Q699" s="1" t="s">
        <v>42</v>
      </c>
      <c r="S699" s="1" t="s">
        <v>42</v>
      </c>
      <c r="T699" s="1" t="s">
        <v>203</v>
      </c>
      <c r="U699" s="1">
        <v>75</v>
      </c>
      <c r="V699" s="5">
        <v>43694</v>
      </c>
      <c r="W699" s="5">
        <v>43533</v>
      </c>
      <c r="X699" s="1">
        <v>2995000</v>
      </c>
      <c r="Y699" s="1">
        <v>2995000</v>
      </c>
      <c r="Z699" s="5">
        <v>43608</v>
      </c>
      <c r="AA699" s="1">
        <v>2950000</v>
      </c>
      <c r="AB699" s="1" t="s">
        <v>538</v>
      </c>
      <c r="AC699" s="5">
        <v>43635</v>
      </c>
      <c r="AF699" s="1">
        <v>10025</v>
      </c>
      <c r="AJ699" s="1">
        <v>1929</v>
      </c>
      <c r="AK699" s="1" t="s">
        <v>428</v>
      </c>
      <c r="AL699" s="1">
        <v>126</v>
      </c>
    </row>
    <row r="700" spans="1:38" x14ac:dyDescent="0.2">
      <c r="A700" s="2" t="str">
        <f>HYPERLINK("https://www.compass.com/listing/30-park-place-unit-70b-manhattan-ny-10007/29357590907460289/","30 Park Pl, Unit 70B")</f>
        <v>30 Park Pl, Unit 70B</v>
      </c>
      <c r="B700" s="2" t="str">
        <f>HYPERLINK("https://www.compass.com/building/30-park-pl-manhattan-ny-10007/281896912905317605/","30 Park Pl")</f>
        <v>30 Park Pl</v>
      </c>
      <c r="C700" s="1" t="s">
        <v>40</v>
      </c>
      <c r="D700" s="1" t="s">
        <v>41</v>
      </c>
      <c r="E700" s="3">
        <v>8563500</v>
      </c>
      <c r="F700" s="1">
        <v>3254.8460661345498</v>
      </c>
      <c r="G700" s="1">
        <v>5.5</v>
      </c>
      <c r="H700" s="1">
        <v>3</v>
      </c>
      <c r="I700" s="1">
        <v>3</v>
      </c>
      <c r="J700" s="1">
        <v>3.5</v>
      </c>
      <c r="K700" s="1">
        <v>3</v>
      </c>
      <c r="L700" s="1">
        <v>1</v>
      </c>
      <c r="M700" s="4">
        <v>2631</v>
      </c>
      <c r="N700" s="1">
        <v>2196</v>
      </c>
      <c r="O700" s="1">
        <v>7793</v>
      </c>
      <c r="P700" s="1">
        <v>5597</v>
      </c>
      <c r="Q700" s="1" t="s">
        <v>42</v>
      </c>
      <c r="S700" s="1" t="s">
        <v>42</v>
      </c>
      <c r="T700" s="1" t="s">
        <v>203</v>
      </c>
      <c r="U700" s="1">
        <v>4</v>
      </c>
      <c r="V700" s="5">
        <v>43662</v>
      </c>
      <c r="W700" s="5">
        <v>42455</v>
      </c>
      <c r="X700" s="1">
        <v>8650000</v>
      </c>
      <c r="Y700" s="1">
        <v>8563500</v>
      </c>
      <c r="Z700" s="5">
        <v>42459</v>
      </c>
      <c r="AA700" s="1">
        <v>8563500</v>
      </c>
      <c r="AB700" s="1" t="s">
        <v>539</v>
      </c>
      <c r="AC700" s="5">
        <v>42877</v>
      </c>
      <c r="AF700" s="1">
        <v>10007</v>
      </c>
      <c r="AJ700" s="1">
        <v>2016</v>
      </c>
      <c r="AK700" s="1" t="s">
        <v>81</v>
      </c>
      <c r="AL700" s="1">
        <v>157</v>
      </c>
    </row>
    <row r="701" spans="1:38" x14ac:dyDescent="0.2">
      <c r="A701" s="2" t="str">
        <f>HYPERLINK("https://www.compass.com/listing/360-central-park-west-unit-3a-manhattan-ny-10025/29399269681218433/","360 Central Park W, Unit 3A")</f>
        <v>360 Central Park W, Unit 3A</v>
      </c>
      <c r="B701" s="2" t="str">
        <f>HYPERLINK("https://www.compass.com/building/360-central-park-west-manhattan-ny/281971555427243781/","360 Central Park West")</f>
        <v>360 Central Park West</v>
      </c>
      <c r="C701" s="1" t="s">
        <v>47</v>
      </c>
      <c r="D701" s="1" t="s">
        <v>41</v>
      </c>
      <c r="E701" s="3">
        <v>1603744</v>
      </c>
      <c r="F701" s="1">
        <v>1856.18518518518</v>
      </c>
      <c r="G701" s="1">
        <v>3.5</v>
      </c>
      <c r="H701" s="1">
        <v>1</v>
      </c>
      <c r="I701" s="1">
        <v>1</v>
      </c>
      <c r="J701" s="1">
        <v>1</v>
      </c>
      <c r="M701" s="1">
        <v>864</v>
      </c>
      <c r="N701" s="1">
        <v>981</v>
      </c>
      <c r="O701" s="1">
        <v>1615</v>
      </c>
      <c r="P701" s="1">
        <v>634</v>
      </c>
      <c r="Q701" s="1" t="s">
        <v>42</v>
      </c>
      <c r="S701" s="1" t="s">
        <v>42</v>
      </c>
      <c r="T701" s="1" t="s">
        <v>203</v>
      </c>
      <c r="U701" s="1">
        <v>119</v>
      </c>
      <c r="V701" s="5">
        <v>43694</v>
      </c>
      <c r="W701" s="5">
        <v>42453</v>
      </c>
      <c r="X701" s="1">
        <v>1595000</v>
      </c>
      <c r="Y701" s="1">
        <v>1595000</v>
      </c>
      <c r="Z701" s="5">
        <v>42572</v>
      </c>
      <c r="AA701" s="1">
        <v>1603744</v>
      </c>
      <c r="AB701" s="1" t="s">
        <v>540</v>
      </c>
      <c r="AC701" s="5">
        <v>43137</v>
      </c>
      <c r="AF701" s="1">
        <v>10025</v>
      </c>
      <c r="AI701" s="1" t="s">
        <v>348</v>
      </c>
      <c r="AJ701" s="1">
        <v>1929</v>
      </c>
      <c r="AK701" s="1" t="s">
        <v>87</v>
      </c>
      <c r="AL701" s="1">
        <v>126</v>
      </c>
    </row>
    <row r="702" spans="1:38" x14ac:dyDescent="0.2">
      <c r="A702" s="2" t="str">
        <f>HYPERLINK("https://www.compass.com/listing/30-park-place-unit-74abc-manhattan-ny-10007/4389331804426129/","30 Park Pl, Unit 74ABC")</f>
        <v>30 Park Pl, Unit 74ABC</v>
      </c>
      <c r="B702" s="2" t="str">
        <f>HYPERLINK("https://www.compass.com/building/30-park-pl-manhattan-ny-10007/281896912905317605/","30 Park Pl")</f>
        <v>30 Park Pl</v>
      </c>
      <c r="C702" s="1" t="s">
        <v>40</v>
      </c>
      <c r="D702" s="1" t="s">
        <v>41</v>
      </c>
      <c r="E702" s="3">
        <v>26642995</v>
      </c>
      <c r="F702" s="1">
        <v>3283.9880463453701</v>
      </c>
      <c r="G702" s="1">
        <v>19.5</v>
      </c>
      <c r="H702" s="1">
        <v>10</v>
      </c>
      <c r="I702" s="1">
        <v>11</v>
      </c>
      <c r="J702" s="1">
        <v>11.5</v>
      </c>
      <c r="K702" s="1">
        <v>11</v>
      </c>
      <c r="L702" s="1">
        <v>1</v>
      </c>
      <c r="M702" s="4">
        <v>8113</v>
      </c>
      <c r="N702" s="1">
        <v>6884</v>
      </c>
      <c r="O702" s="1">
        <v>24432</v>
      </c>
      <c r="P702" s="1">
        <v>17548</v>
      </c>
      <c r="Q702" s="1" t="s">
        <v>42</v>
      </c>
      <c r="S702" s="1" t="s">
        <v>42</v>
      </c>
      <c r="T702" s="1" t="s">
        <v>203</v>
      </c>
      <c r="V702" s="5">
        <v>43642</v>
      </c>
      <c r="W702" s="5">
        <v>43132</v>
      </c>
      <c r="X702" s="1">
        <v>26165475</v>
      </c>
      <c r="Y702" s="1">
        <v>26165475</v>
      </c>
      <c r="Z702" s="5">
        <v>43132</v>
      </c>
      <c r="AA702" s="1">
        <v>26642995.02</v>
      </c>
      <c r="AB702" s="1" t="s">
        <v>541</v>
      </c>
      <c r="AC702" s="5">
        <v>43214</v>
      </c>
      <c r="AF702" s="1">
        <v>10007</v>
      </c>
      <c r="AI702" s="1" t="s">
        <v>403</v>
      </c>
      <c r="AJ702" s="1">
        <v>2016</v>
      </c>
      <c r="AK702" s="1" t="s">
        <v>81</v>
      </c>
      <c r="AL702" s="1">
        <v>157</v>
      </c>
    </row>
    <row r="703" spans="1:38" x14ac:dyDescent="0.2">
      <c r="A703" s="2" t="str">
        <f>HYPERLINK("https://www.compass.com/listing/175-west-95th-street-unit-14f-manhattan-ny-10025/622576917746766521/","175 W 95th St, Unit 14F")</f>
        <v>175 W 95th St, Unit 14F</v>
      </c>
      <c r="B703" s="2" t="str">
        <f t="shared" ref="B703:B704" si="116">HYPERLINK("https://www.compass.com/building/175-w-95th-manhattan-ny/292876785429866517/","175 W 95th")</f>
        <v>175 W 95th</v>
      </c>
      <c r="C703" s="1" t="s">
        <v>47</v>
      </c>
      <c r="D703" s="1" t="s">
        <v>41</v>
      </c>
      <c r="E703" s="3">
        <v>1350000</v>
      </c>
      <c r="G703" s="1">
        <v>4.5</v>
      </c>
      <c r="H703" s="1">
        <v>2</v>
      </c>
      <c r="I703" s="1">
        <v>1</v>
      </c>
      <c r="J703" s="1">
        <v>1</v>
      </c>
      <c r="K703" s="1">
        <v>1</v>
      </c>
      <c r="N703" s="1">
        <v>1021.48</v>
      </c>
      <c r="O703" s="1">
        <v>1833.15</v>
      </c>
      <c r="P703" s="1">
        <v>811.66666666666595</v>
      </c>
      <c r="Q703" s="1" t="s">
        <v>42</v>
      </c>
      <c r="S703" s="1" t="s">
        <v>42</v>
      </c>
      <c r="T703" s="1" t="s">
        <v>203</v>
      </c>
      <c r="U703" s="1">
        <v>164</v>
      </c>
      <c r="V703" s="5">
        <v>44418</v>
      </c>
      <c r="W703" s="5">
        <v>44110</v>
      </c>
      <c r="X703" s="1">
        <v>1450000</v>
      </c>
      <c r="Y703" s="1">
        <v>1450000</v>
      </c>
      <c r="Z703" s="5">
        <v>44275</v>
      </c>
      <c r="AA703" s="1">
        <v>1350000</v>
      </c>
      <c r="AB703" s="1" t="s">
        <v>215</v>
      </c>
      <c r="AC703" s="5">
        <v>44403</v>
      </c>
      <c r="AF703" s="1">
        <v>10025</v>
      </c>
      <c r="AI703" s="1" t="s">
        <v>100</v>
      </c>
      <c r="AJ703" s="1">
        <v>1971</v>
      </c>
      <c r="AK703" s="1" t="s">
        <v>81</v>
      </c>
      <c r="AL703" s="1">
        <v>226</v>
      </c>
    </row>
    <row r="704" spans="1:38" x14ac:dyDescent="0.2">
      <c r="A704" s="2" t="str">
        <f>HYPERLINK("https://www.compass.com/listing/175-west-95th-street-unit-14b-manhattan-ny-10025/803332536813588705/","175 W 95th St, Unit 14B")</f>
        <v>175 W 95th St, Unit 14B</v>
      </c>
      <c r="B704" s="2" t="str">
        <f t="shared" si="116"/>
        <v>175 W 95th</v>
      </c>
      <c r="C704" s="1" t="s">
        <v>47</v>
      </c>
      <c r="D704" s="1" t="s">
        <v>41</v>
      </c>
      <c r="E704" s="3">
        <v>1430000</v>
      </c>
      <c r="F704" s="1">
        <v>1462.16768916155</v>
      </c>
      <c r="G704" s="1">
        <v>4.5</v>
      </c>
      <c r="H704" s="1">
        <v>2</v>
      </c>
      <c r="I704" s="1">
        <v>1</v>
      </c>
      <c r="J704" s="1">
        <v>1</v>
      </c>
      <c r="K704" s="1">
        <v>1</v>
      </c>
      <c r="M704" s="1">
        <v>978</v>
      </c>
      <c r="N704" s="1">
        <v>1054</v>
      </c>
      <c r="O704" s="1">
        <v>1908.74</v>
      </c>
      <c r="P704" s="1">
        <v>854.75</v>
      </c>
      <c r="Q704" s="1" t="s">
        <v>42</v>
      </c>
      <c r="S704" s="1" t="s">
        <v>42</v>
      </c>
      <c r="T704" s="1" t="s">
        <v>203</v>
      </c>
      <c r="U704" s="1">
        <v>91</v>
      </c>
      <c r="V704" s="5">
        <v>43905</v>
      </c>
      <c r="W704" s="5">
        <v>43726</v>
      </c>
      <c r="X704" s="1">
        <v>1495000</v>
      </c>
      <c r="Y704" s="1">
        <v>1495000</v>
      </c>
      <c r="Z704" s="5">
        <v>43818</v>
      </c>
      <c r="AA704" s="1">
        <v>1430000</v>
      </c>
      <c r="AB704" s="1" t="s">
        <v>542</v>
      </c>
      <c r="AC704" s="5">
        <v>43902</v>
      </c>
      <c r="AF704" s="1">
        <v>10025</v>
      </c>
      <c r="AI704" s="1" t="s">
        <v>100</v>
      </c>
      <c r="AJ704" s="1">
        <v>1971</v>
      </c>
      <c r="AK704" s="1" t="s">
        <v>81</v>
      </c>
      <c r="AL704" s="1">
        <v>226</v>
      </c>
    </row>
    <row r="705" spans="1:38" x14ac:dyDescent="0.2">
      <c r="A705" s="2" t="str">
        <f>HYPERLINK("https://www.compass.com/listing/212-west-95th-street-unit-9b-manhattan-ny-10025/802216452979604465/","212 W 95th St, Unit 9B")</f>
        <v>212 W 95th St, Unit 9B</v>
      </c>
      <c r="B705" s="2" t="str">
        <f>HYPERLINK("https://www.compass.com/building/dahlia-manhattan-ny/282058919214351605/","Dahlia")</f>
        <v>Dahlia</v>
      </c>
      <c r="C705" s="1" t="s">
        <v>47</v>
      </c>
      <c r="D705" s="1" t="s">
        <v>41</v>
      </c>
      <c r="E705" s="3">
        <v>2607475</v>
      </c>
      <c r="F705" s="1">
        <v>1766.5819783197801</v>
      </c>
      <c r="G705" s="1">
        <v>5</v>
      </c>
      <c r="H705" s="1">
        <v>3</v>
      </c>
      <c r="I705" s="1">
        <v>3</v>
      </c>
      <c r="J705" s="1">
        <v>3</v>
      </c>
      <c r="K705" s="1">
        <v>3</v>
      </c>
      <c r="M705" s="4">
        <v>1476</v>
      </c>
      <c r="N705" s="1">
        <v>1333</v>
      </c>
      <c r="O705" s="1">
        <v>3986</v>
      </c>
      <c r="P705" s="1">
        <v>2653</v>
      </c>
      <c r="Q705" s="1" t="s">
        <v>42</v>
      </c>
      <c r="S705" s="1" t="s">
        <v>42</v>
      </c>
      <c r="T705" s="1" t="s">
        <v>203</v>
      </c>
      <c r="V705" s="5">
        <v>44407</v>
      </c>
      <c r="W705" s="5">
        <v>44359</v>
      </c>
      <c r="X705" s="1">
        <v>2600000</v>
      </c>
      <c r="Y705" s="1">
        <v>2600000</v>
      </c>
      <c r="Z705" s="5">
        <v>44359</v>
      </c>
      <c r="AA705" s="1">
        <v>2607475</v>
      </c>
      <c r="AB705" s="1" t="s">
        <v>543</v>
      </c>
      <c r="AC705" s="5">
        <v>44383</v>
      </c>
      <c r="AF705" s="1">
        <v>10025</v>
      </c>
      <c r="AI705" s="1" t="s">
        <v>45</v>
      </c>
      <c r="AJ705" s="1">
        <v>2019</v>
      </c>
      <c r="AK705" s="1" t="s">
        <v>87</v>
      </c>
      <c r="AL705" s="1">
        <v>38</v>
      </c>
    </row>
    <row r="706" spans="1:38" x14ac:dyDescent="0.2">
      <c r="A706" s="2" t="str">
        <f>HYPERLINK("https://www.compass.com/listing/30-park-place-unit-ph78a-manhattan-ny-10007/29357596695694849/","30 Park Pl, Unit PH78A")</f>
        <v>30 Park Pl, Unit PH78A</v>
      </c>
      <c r="B706" s="2" t="str">
        <f t="shared" ref="B706:B707" si="117">HYPERLINK("https://www.compass.com/building/30-park-pl-manhattan-ny-10007/281896912905317605/","30 Park Pl")</f>
        <v>30 Park Pl</v>
      </c>
      <c r="C706" s="1" t="s">
        <v>40</v>
      </c>
      <c r="D706" s="1" t="s">
        <v>41</v>
      </c>
      <c r="E706" s="3">
        <v>30000000</v>
      </c>
      <c r="F706" s="1">
        <v>4896.3603721233803</v>
      </c>
      <c r="G706" s="1">
        <v>10</v>
      </c>
      <c r="H706" s="1">
        <v>5</v>
      </c>
      <c r="I706" s="1">
        <v>6</v>
      </c>
      <c r="J706" s="1">
        <v>6.5</v>
      </c>
      <c r="K706" s="1">
        <v>6</v>
      </c>
      <c r="L706" s="1">
        <v>1</v>
      </c>
      <c r="M706" s="4">
        <v>6127</v>
      </c>
      <c r="N706" s="1">
        <v>5745</v>
      </c>
      <c r="O706" s="1">
        <v>20391</v>
      </c>
      <c r="P706" s="1">
        <v>14646</v>
      </c>
      <c r="Q706" s="1" t="s">
        <v>42</v>
      </c>
      <c r="S706" s="1" t="s">
        <v>42</v>
      </c>
      <c r="T706" s="1" t="s">
        <v>203</v>
      </c>
      <c r="U706" s="1">
        <v>363</v>
      </c>
      <c r="V706" s="5">
        <v>43662</v>
      </c>
      <c r="W706" s="5">
        <v>42440</v>
      </c>
      <c r="X706" s="1">
        <v>32500000</v>
      </c>
      <c r="Y706" s="1">
        <v>30000000</v>
      </c>
      <c r="Z706" s="5">
        <v>42803</v>
      </c>
      <c r="AA706" s="1">
        <v>30000000</v>
      </c>
      <c r="AB706" s="1" t="s">
        <v>544</v>
      </c>
      <c r="AC706" s="5">
        <v>42846</v>
      </c>
      <c r="AF706" s="1">
        <v>10007</v>
      </c>
      <c r="AI706" s="1" t="s">
        <v>193</v>
      </c>
      <c r="AJ706" s="1">
        <v>2016</v>
      </c>
      <c r="AK706" s="1" t="s">
        <v>81</v>
      </c>
      <c r="AL706" s="1">
        <v>157</v>
      </c>
    </row>
    <row r="707" spans="1:38" x14ac:dyDescent="0.2">
      <c r="A707" s="2" t="str">
        <f>HYPERLINK("https://www.compass.com/listing/30-park-place-unit-ph77b-manhattan-ny-10007/29026660162533569/","30 Park Pl, Unit PH77B")</f>
        <v>30 Park Pl, Unit PH77B</v>
      </c>
      <c r="B707" s="2" t="str">
        <f t="shared" si="117"/>
        <v>30 Park Pl</v>
      </c>
      <c r="C707" s="1" t="s">
        <v>40</v>
      </c>
      <c r="D707" s="1" t="s">
        <v>41</v>
      </c>
      <c r="E707" s="3">
        <v>13750000</v>
      </c>
      <c r="F707" s="1">
        <v>4333.4383863851199</v>
      </c>
      <c r="G707" s="1">
        <v>6</v>
      </c>
      <c r="H707" s="1">
        <v>3</v>
      </c>
      <c r="I707" s="1">
        <v>5</v>
      </c>
      <c r="J707" s="1">
        <v>4.5</v>
      </c>
      <c r="K707" s="1">
        <v>4</v>
      </c>
      <c r="L707" s="1">
        <v>1</v>
      </c>
      <c r="M707" s="4">
        <v>3173</v>
      </c>
      <c r="N707" s="1">
        <v>2810</v>
      </c>
      <c r="O707" s="1">
        <v>10036</v>
      </c>
      <c r="P707" s="1">
        <v>7226</v>
      </c>
      <c r="Q707" s="1" t="s">
        <v>42</v>
      </c>
      <c r="S707" s="1" t="s">
        <v>42</v>
      </c>
      <c r="T707" s="1" t="s">
        <v>203</v>
      </c>
      <c r="U707" s="1">
        <v>1424</v>
      </c>
      <c r="V707" s="5">
        <v>43637</v>
      </c>
      <c r="W707" s="5">
        <v>42115</v>
      </c>
      <c r="X707" s="1">
        <v>18875000</v>
      </c>
      <c r="Y707" s="1">
        <v>16450000</v>
      </c>
      <c r="Z707" s="5">
        <v>43540</v>
      </c>
      <c r="AA707" s="1">
        <v>13750000</v>
      </c>
      <c r="AB707" s="1" t="s">
        <v>545</v>
      </c>
      <c r="AC707" s="5">
        <v>43600</v>
      </c>
      <c r="AF707" s="1">
        <v>10007</v>
      </c>
      <c r="AI707" s="1" t="s">
        <v>403</v>
      </c>
      <c r="AJ707" s="1">
        <v>2016</v>
      </c>
      <c r="AK707" s="1" t="s">
        <v>81</v>
      </c>
      <c r="AL707" s="1">
        <v>157</v>
      </c>
    </row>
    <row r="708" spans="1:38" x14ac:dyDescent="0.2">
      <c r="A708" s="2" t="str">
        <f>HYPERLINK("https://www.compass.com/listing/175-west-95th-street-unit-2b-manhattan-ny-10025/4852266495117368801/","175 W 95th St, Unit 2B")</f>
        <v>175 W 95th St, Unit 2B</v>
      </c>
      <c r="B708" s="2" t="str">
        <f>HYPERLINK("https://www.compass.com/building/175-w-95th-manhattan-ny/292876785429866517/","175 W 95th")</f>
        <v>175 W 95th</v>
      </c>
      <c r="C708" s="1" t="s">
        <v>47</v>
      </c>
      <c r="D708" s="1" t="s">
        <v>41</v>
      </c>
      <c r="E708" s="3">
        <v>1375000</v>
      </c>
      <c r="F708" s="1">
        <v>1390.2932254802799</v>
      </c>
      <c r="G708" s="1">
        <v>4</v>
      </c>
      <c r="H708" s="1">
        <v>2</v>
      </c>
      <c r="I708" s="1">
        <v>1</v>
      </c>
      <c r="J708" s="1">
        <v>1</v>
      </c>
      <c r="K708" s="1">
        <v>1</v>
      </c>
      <c r="M708" s="1">
        <v>989</v>
      </c>
      <c r="N708" s="1">
        <v>1029</v>
      </c>
      <c r="O708" s="1">
        <v>1511</v>
      </c>
      <c r="P708" s="1">
        <v>482</v>
      </c>
      <c r="Q708" s="1" t="s">
        <v>42</v>
      </c>
      <c r="S708" s="1" t="s">
        <v>42</v>
      </c>
      <c r="T708" s="1" t="s">
        <v>203</v>
      </c>
      <c r="U708" s="1">
        <v>286</v>
      </c>
      <c r="V708" s="5">
        <v>43662</v>
      </c>
      <c r="W708" s="5">
        <v>42557</v>
      </c>
      <c r="X708" s="1">
        <v>1375000</v>
      </c>
      <c r="Y708" s="1">
        <v>1375000</v>
      </c>
      <c r="Z708" s="5">
        <v>42843</v>
      </c>
      <c r="AA708" s="1">
        <v>1375000</v>
      </c>
      <c r="AB708" s="1" t="s">
        <v>546</v>
      </c>
      <c r="AC708" s="5">
        <v>42887</v>
      </c>
      <c r="AF708" s="1">
        <v>10025</v>
      </c>
      <c r="AI708" s="1" t="s">
        <v>123</v>
      </c>
      <c r="AJ708" s="1">
        <v>1971</v>
      </c>
      <c r="AK708" s="1" t="s">
        <v>81</v>
      </c>
      <c r="AL708" s="1">
        <v>226</v>
      </c>
    </row>
    <row r="709" spans="1:38" x14ac:dyDescent="0.2">
      <c r="A709" s="2" t="str">
        <f>HYPERLINK("https://www.compass.com/listing/360-central-park-west-unit-9j-manhattan-ny-10025/29399275544855681/","360 Central Park W, Unit 9J")</f>
        <v>360 Central Park W, Unit 9J</v>
      </c>
      <c r="B709" s="2" t="str">
        <f t="shared" ref="B709:B713" si="118">HYPERLINK("https://www.compass.com/building/360-central-park-west-manhattan-ny/281971555427243781/","360 Central Park West")</f>
        <v>360 Central Park West</v>
      </c>
      <c r="C709" s="1" t="s">
        <v>47</v>
      </c>
      <c r="D709" s="1" t="s">
        <v>41</v>
      </c>
      <c r="E709" s="3">
        <v>1299287</v>
      </c>
      <c r="F709" s="1">
        <v>1556.03233532934</v>
      </c>
      <c r="G709" s="1">
        <v>3.5</v>
      </c>
      <c r="H709" s="1">
        <v>1</v>
      </c>
      <c r="I709" s="1">
        <v>1</v>
      </c>
      <c r="J709" s="1">
        <v>1</v>
      </c>
      <c r="M709" s="1">
        <v>835</v>
      </c>
      <c r="N709" s="1">
        <v>948</v>
      </c>
      <c r="O709" s="1">
        <v>1561</v>
      </c>
      <c r="P709" s="1">
        <v>613</v>
      </c>
      <c r="Q709" s="1" t="s">
        <v>42</v>
      </c>
      <c r="S709" s="1" t="s">
        <v>42</v>
      </c>
      <c r="T709" s="1" t="s">
        <v>203</v>
      </c>
      <c r="V709" s="5">
        <v>43634</v>
      </c>
      <c r="W709" s="5">
        <v>42235</v>
      </c>
      <c r="X709" s="1">
        <v>1276000</v>
      </c>
      <c r="Y709" s="1">
        <v>1276000</v>
      </c>
      <c r="Z709" s="5">
        <v>42235</v>
      </c>
      <c r="AA709" s="1">
        <v>1299287</v>
      </c>
      <c r="AB709" s="1" t="s">
        <v>547</v>
      </c>
      <c r="AC709" s="5">
        <v>43068</v>
      </c>
      <c r="AF709" s="1">
        <v>10025</v>
      </c>
      <c r="AI709" s="1" t="s">
        <v>348</v>
      </c>
      <c r="AJ709" s="1">
        <v>1929</v>
      </c>
      <c r="AK709" s="1" t="s">
        <v>87</v>
      </c>
      <c r="AL709" s="1">
        <v>126</v>
      </c>
    </row>
    <row r="710" spans="1:38" x14ac:dyDescent="0.2">
      <c r="A710" s="2" t="str">
        <f>HYPERLINK("https://www.compass.com/listing/360-central-park-west-unit-9j-manhattan-ny-10025/785640675994719609/","360 Central Park W, Unit 9J")</f>
        <v>360 Central Park W, Unit 9J</v>
      </c>
      <c r="B710" s="2" t="str">
        <f t="shared" si="118"/>
        <v>360 Central Park West</v>
      </c>
      <c r="C710" s="1" t="s">
        <v>47</v>
      </c>
      <c r="D710" s="1" t="s">
        <v>41</v>
      </c>
      <c r="E710" s="3">
        <v>1276000</v>
      </c>
      <c r="F710" s="1">
        <v>1528.14371257485</v>
      </c>
      <c r="G710" s="1">
        <v>3</v>
      </c>
      <c r="H710" s="1">
        <v>1</v>
      </c>
      <c r="I710" s="1">
        <v>1</v>
      </c>
      <c r="M710" s="1">
        <v>835</v>
      </c>
      <c r="N710" s="1">
        <v>948</v>
      </c>
      <c r="O710" s="1">
        <v>1561</v>
      </c>
      <c r="P710" s="1">
        <v>613</v>
      </c>
      <c r="Q710" s="1" t="s">
        <v>42</v>
      </c>
      <c r="S710" s="1" t="s">
        <v>42</v>
      </c>
      <c r="T710" s="1" t="s">
        <v>203</v>
      </c>
      <c r="V710" s="5">
        <v>43238</v>
      </c>
      <c r="W710" s="5">
        <v>42233</v>
      </c>
      <c r="X710" s="1">
        <v>1276000</v>
      </c>
      <c r="AB710" s="1" t="s">
        <v>204</v>
      </c>
      <c r="AF710" s="1">
        <v>10025</v>
      </c>
      <c r="AI710" s="1" t="s">
        <v>348</v>
      </c>
      <c r="AJ710" s="1">
        <v>1929</v>
      </c>
      <c r="AK710" s="1" t="s">
        <v>87</v>
      </c>
      <c r="AL710" s="1">
        <v>126</v>
      </c>
    </row>
    <row r="711" spans="1:38" x14ac:dyDescent="0.2">
      <c r="A711" s="2" t="str">
        <f>HYPERLINK("https://www.compass.com/listing/360-central-park-west-unit-3a-manhattan-ny-10025/803353907640173897/","360 Central Park W, Unit 3A")</f>
        <v>360 Central Park W, Unit 3A</v>
      </c>
      <c r="B711" s="2" t="str">
        <f t="shared" si="118"/>
        <v>360 Central Park West</v>
      </c>
      <c r="C711" s="1" t="s">
        <v>47</v>
      </c>
      <c r="D711" s="1" t="s">
        <v>41</v>
      </c>
      <c r="E711" s="3">
        <v>1603744</v>
      </c>
      <c r="F711" s="1">
        <v>1856.1848958333301</v>
      </c>
      <c r="G711" s="1">
        <v>3</v>
      </c>
      <c r="H711" s="1">
        <v>1</v>
      </c>
      <c r="I711" s="1">
        <v>1</v>
      </c>
      <c r="J711" s="1">
        <v>1</v>
      </c>
      <c r="K711" s="1">
        <v>1</v>
      </c>
      <c r="M711" s="1">
        <v>864</v>
      </c>
      <c r="N711" s="1">
        <v>981</v>
      </c>
      <c r="O711" s="1">
        <v>1615</v>
      </c>
      <c r="P711" s="1">
        <v>634</v>
      </c>
      <c r="Q711" s="1" t="s">
        <v>42</v>
      </c>
      <c r="S711" s="1" t="s">
        <v>42</v>
      </c>
      <c r="T711" s="1" t="s">
        <v>203</v>
      </c>
      <c r="U711" s="1">
        <v>635</v>
      </c>
      <c r="V711" s="5">
        <v>43678</v>
      </c>
      <c r="W711" s="5">
        <v>42501</v>
      </c>
      <c r="X711" s="1">
        <v>1595000</v>
      </c>
      <c r="Y711" s="1">
        <v>1595000</v>
      </c>
      <c r="AA711" s="1">
        <v>1603743.75</v>
      </c>
      <c r="AB711" s="1" t="s">
        <v>540</v>
      </c>
      <c r="AC711" s="5">
        <v>43136</v>
      </c>
      <c r="AF711" s="1">
        <v>10025</v>
      </c>
      <c r="AI711" s="1" t="s">
        <v>348</v>
      </c>
      <c r="AJ711" s="1">
        <v>1929</v>
      </c>
      <c r="AK711" s="1" t="s">
        <v>87</v>
      </c>
      <c r="AL711" s="1">
        <v>126</v>
      </c>
    </row>
    <row r="712" spans="1:38" x14ac:dyDescent="0.2">
      <c r="A712" s="2" t="str">
        <f>HYPERLINK("https://www.compass.com/listing/360-central-park-west-unit-5a-manhattan-ny-10025/29399271971253905/","360 Central Park W, Unit 5A")</f>
        <v>360 Central Park W, Unit 5A</v>
      </c>
      <c r="B712" s="2" t="str">
        <f t="shared" si="118"/>
        <v>360 Central Park West</v>
      </c>
      <c r="C712" s="1" t="s">
        <v>47</v>
      </c>
      <c r="D712" s="1" t="s">
        <v>41</v>
      </c>
      <c r="E712" s="3">
        <v>1725934</v>
      </c>
      <c r="F712" s="1">
        <v>2069.46522781774</v>
      </c>
      <c r="G712" s="1">
        <v>3</v>
      </c>
      <c r="H712" s="1">
        <v>1</v>
      </c>
      <c r="I712" s="1">
        <v>1</v>
      </c>
      <c r="J712" s="1">
        <v>1</v>
      </c>
      <c r="M712" s="1">
        <v>834</v>
      </c>
      <c r="N712" s="1">
        <v>948</v>
      </c>
      <c r="O712" s="1">
        <v>1561</v>
      </c>
      <c r="P712" s="1">
        <v>613</v>
      </c>
      <c r="Q712" s="1" t="s">
        <v>42</v>
      </c>
      <c r="S712" s="1" t="s">
        <v>42</v>
      </c>
      <c r="T712" s="1" t="s">
        <v>203</v>
      </c>
      <c r="V712" s="5">
        <v>43650</v>
      </c>
      <c r="W712" s="5">
        <v>42273</v>
      </c>
      <c r="X712" s="1">
        <v>1695000</v>
      </c>
      <c r="Y712" s="1">
        <v>1695000</v>
      </c>
      <c r="Z712" s="5">
        <v>42273</v>
      </c>
      <c r="AA712" s="1">
        <v>1725934</v>
      </c>
      <c r="AB712" s="1" t="s">
        <v>548</v>
      </c>
      <c r="AC712" s="5">
        <v>43141</v>
      </c>
      <c r="AF712" s="1">
        <v>10025</v>
      </c>
      <c r="AJ712" s="1">
        <v>1929</v>
      </c>
      <c r="AK712" s="1" t="s">
        <v>428</v>
      </c>
      <c r="AL712" s="1">
        <v>126</v>
      </c>
    </row>
    <row r="713" spans="1:38" x14ac:dyDescent="0.2">
      <c r="A713" s="2" t="str">
        <f>HYPERLINK("https://www.compass.com/listing/360-central-park-west-unit-5a-manhattan-ny-10025/803328722438382593/","360 Central Park W, Unit 5A")</f>
        <v>360 Central Park W, Unit 5A</v>
      </c>
      <c r="B713" s="2" t="str">
        <f t="shared" si="118"/>
        <v>360 Central Park West</v>
      </c>
      <c r="C713" s="1" t="s">
        <v>47</v>
      </c>
      <c r="D713" s="1" t="s">
        <v>41</v>
      </c>
      <c r="E713" s="3">
        <v>1725934</v>
      </c>
      <c r="F713" s="1">
        <v>2069.46492805755</v>
      </c>
      <c r="G713" s="1">
        <v>3</v>
      </c>
      <c r="H713" s="1">
        <v>1</v>
      </c>
      <c r="I713" s="1">
        <v>1</v>
      </c>
      <c r="J713" s="1">
        <v>1</v>
      </c>
      <c r="K713" s="1">
        <v>1</v>
      </c>
      <c r="M713" s="1">
        <v>834</v>
      </c>
      <c r="N713" s="1">
        <v>948</v>
      </c>
      <c r="O713" s="1">
        <v>1561</v>
      </c>
      <c r="P713" s="1">
        <v>613</v>
      </c>
      <c r="Q713" s="1" t="s">
        <v>42</v>
      </c>
      <c r="S713" s="1" t="s">
        <v>42</v>
      </c>
      <c r="T713" s="1" t="s">
        <v>203</v>
      </c>
      <c r="U713" s="1">
        <v>868</v>
      </c>
      <c r="V713" s="5">
        <v>43678</v>
      </c>
      <c r="W713" s="5">
        <v>42272</v>
      </c>
      <c r="X713" s="1">
        <v>1695000</v>
      </c>
      <c r="Y713" s="1">
        <v>1695000</v>
      </c>
      <c r="AA713" s="1">
        <v>1725933.75</v>
      </c>
      <c r="AB713" s="1" t="s">
        <v>548</v>
      </c>
      <c r="AC713" s="5">
        <v>43140</v>
      </c>
      <c r="AF713" s="1">
        <v>10025</v>
      </c>
      <c r="AJ713" s="1">
        <v>1929</v>
      </c>
      <c r="AK713" s="1" t="s">
        <v>428</v>
      </c>
      <c r="AL713" s="1">
        <v>126</v>
      </c>
    </row>
    <row r="714" spans="1:38" x14ac:dyDescent="0.2">
      <c r="A714" s="2" t="str">
        <f>HYPERLINK("https://www.compass.com/listing/952-columbus-avenue-unit-3b-manhattan-ny-10025/29430194905286449/","952 Columbus Ave, Unit 3B")</f>
        <v>952 Columbus Ave, Unit 3B</v>
      </c>
      <c r="B714" s="2" t="str">
        <f>HYPERLINK("https://www.compass.com/building/952-columbus-ave-manhattan-ny-10025/281973617187710805/","952 Columbus Ave")</f>
        <v>952 Columbus Ave</v>
      </c>
      <c r="C714" s="1" t="s">
        <v>47</v>
      </c>
      <c r="D714" s="1" t="s">
        <v>41</v>
      </c>
      <c r="E714" s="3">
        <v>997885</v>
      </c>
      <c r="F714" s="1">
        <v>1211.02548543689</v>
      </c>
      <c r="G714" s="1">
        <v>3</v>
      </c>
      <c r="H714" s="1">
        <v>1</v>
      </c>
      <c r="I714" s="1">
        <v>1</v>
      </c>
      <c r="J714" s="1">
        <v>1</v>
      </c>
      <c r="M714" s="1">
        <v>824</v>
      </c>
      <c r="N714" s="1">
        <v>488</v>
      </c>
      <c r="O714" s="1">
        <v>1070</v>
      </c>
      <c r="P714" s="1">
        <v>582</v>
      </c>
      <c r="Q714" s="1" t="s">
        <v>42</v>
      </c>
      <c r="S714" s="1" t="s">
        <v>42</v>
      </c>
      <c r="T714" s="1" t="s">
        <v>203</v>
      </c>
      <c r="U714" s="1">
        <v>56</v>
      </c>
      <c r="V714" s="5">
        <v>43650</v>
      </c>
      <c r="W714" s="5">
        <v>42711</v>
      </c>
      <c r="X714" s="1">
        <v>975000</v>
      </c>
      <c r="Y714" s="1">
        <v>975000</v>
      </c>
      <c r="Z714" s="5">
        <v>42767</v>
      </c>
      <c r="AA714" s="1">
        <v>997885</v>
      </c>
      <c r="AB714" s="1" t="s">
        <v>549</v>
      </c>
      <c r="AC714" s="5">
        <v>42972</v>
      </c>
      <c r="AF714" s="1">
        <v>10025</v>
      </c>
      <c r="AI714" s="1" t="s">
        <v>103</v>
      </c>
      <c r="AJ714" s="1">
        <v>2016</v>
      </c>
      <c r="AL714" s="1">
        <v>15</v>
      </c>
    </row>
    <row r="715" spans="1:38" x14ac:dyDescent="0.2">
      <c r="A715" s="2" t="str">
        <f>HYPERLINK("https://www.compass.com/listing/324-east-4th-street-unit-3a-manhattan-ny-10009/29360860409474289/","324 E 4th St, Unit 3A")</f>
        <v>324 E 4th St, Unit 3A</v>
      </c>
      <c r="B715" s="2" t="str">
        <f>HYPERLINK("https://www.compass.com/building/324-e-4th-st-manhattan-ny-10009/281899594583912869/","324 E 4th St")</f>
        <v>324 E 4th St</v>
      </c>
      <c r="C715" s="1" t="s">
        <v>88</v>
      </c>
      <c r="D715" s="1" t="s">
        <v>41</v>
      </c>
      <c r="E715" s="3">
        <v>762669</v>
      </c>
      <c r="F715" s="1">
        <v>1260.60991735537</v>
      </c>
      <c r="G715" s="1">
        <v>3</v>
      </c>
      <c r="H715" s="1">
        <v>1</v>
      </c>
      <c r="I715" s="1">
        <v>1</v>
      </c>
      <c r="J715" s="1">
        <v>1</v>
      </c>
      <c r="M715" s="1">
        <v>605</v>
      </c>
      <c r="N715" s="1">
        <v>342</v>
      </c>
      <c r="O715" s="1">
        <v>1040</v>
      </c>
      <c r="P715" s="1">
        <v>698</v>
      </c>
      <c r="Q715" s="1" t="s">
        <v>42</v>
      </c>
      <c r="S715" s="1" t="s">
        <v>42</v>
      </c>
      <c r="T715" s="1" t="s">
        <v>203</v>
      </c>
      <c r="U715" s="1">
        <v>35</v>
      </c>
      <c r="V715" s="5">
        <v>43675</v>
      </c>
      <c r="W715" s="5">
        <v>42286</v>
      </c>
      <c r="X715" s="1">
        <v>749000</v>
      </c>
      <c r="Y715" s="1">
        <v>749000</v>
      </c>
      <c r="Z715" s="5">
        <v>42321</v>
      </c>
      <c r="AA715" s="1">
        <v>762669</v>
      </c>
      <c r="AB715" s="1" t="s">
        <v>550</v>
      </c>
      <c r="AC715" s="5">
        <v>42635</v>
      </c>
      <c r="AF715" s="1">
        <v>10009</v>
      </c>
      <c r="AI715" s="1" t="s">
        <v>315</v>
      </c>
      <c r="AJ715" s="1">
        <v>1920</v>
      </c>
      <c r="AL715" s="1">
        <v>111</v>
      </c>
    </row>
    <row r="716" spans="1:38" x14ac:dyDescent="0.2">
      <c r="A716" s="2" t="str">
        <f>HYPERLINK("https://www.compass.com/listing/175-west-95th-street-unit-2c-manhattan-ny-10025/4852276010416088977/","175 W 95th St, Unit 2C")</f>
        <v>175 W 95th St, Unit 2C</v>
      </c>
      <c r="B716" s="2" t="str">
        <f t="shared" ref="B716:B717" si="119">HYPERLINK("https://www.compass.com/building/175-w-95th-manhattan-ny/292876785429866517/","175 W 95th")</f>
        <v>175 W 95th</v>
      </c>
      <c r="C716" s="1" t="s">
        <v>47</v>
      </c>
      <c r="D716" s="1" t="s">
        <v>41</v>
      </c>
      <c r="E716" s="3">
        <v>2450000</v>
      </c>
      <c r="F716" s="1">
        <v>1971.0378117457699</v>
      </c>
      <c r="G716" s="1">
        <v>5</v>
      </c>
      <c r="H716" s="1">
        <v>3</v>
      </c>
      <c r="I716" s="1">
        <v>2</v>
      </c>
      <c r="J716" s="1">
        <v>2</v>
      </c>
      <c r="K716" s="1">
        <v>2</v>
      </c>
      <c r="M716" s="4">
        <v>1243</v>
      </c>
      <c r="N716" s="1">
        <v>1581</v>
      </c>
      <c r="O716" s="1">
        <v>2321</v>
      </c>
      <c r="P716" s="1">
        <v>740</v>
      </c>
      <c r="Q716" s="1" t="s">
        <v>42</v>
      </c>
      <c r="S716" s="1" t="s">
        <v>42</v>
      </c>
      <c r="T716" s="1" t="s">
        <v>203</v>
      </c>
      <c r="U716" s="1">
        <v>461</v>
      </c>
      <c r="V716" s="5">
        <v>43631</v>
      </c>
      <c r="W716" s="5">
        <v>42410</v>
      </c>
      <c r="X716" s="1">
        <v>2450000</v>
      </c>
      <c r="Y716" s="1">
        <v>2450000</v>
      </c>
      <c r="Z716" s="5">
        <v>42871</v>
      </c>
      <c r="AA716" s="1">
        <v>2450000</v>
      </c>
      <c r="AB716" s="1" t="s">
        <v>551</v>
      </c>
      <c r="AC716" s="5">
        <v>42909</v>
      </c>
      <c r="AF716" s="1">
        <v>10025</v>
      </c>
      <c r="AI716" s="1" t="s">
        <v>123</v>
      </c>
      <c r="AJ716" s="1">
        <v>1971</v>
      </c>
      <c r="AK716" s="1" t="s">
        <v>81</v>
      </c>
      <c r="AL716" s="1">
        <v>226</v>
      </c>
    </row>
    <row r="717" spans="1:38" x14ac:dyDescent="0.2">
      <c r="A717" s="2" t="str">
        <f>HYPERLINK("https://www.compass.com/listing/175-west-95th-street-unit-26c-manhattan-ny-10025/4852288111452894753/","175 W 95th St, Unit 26C")</f>
        <v>175 W 95th St, Unit 26C</v>
      </c>
      <c r="B717" s="2" t="str">
        <f t="shared" si="119"/>
        <v>175 W 95th</v>
      </c>
      <c r="C717" s="1" t="s">
        <v>47</v>
      </c>
      <c r="D717" s="1" t="s">
        <v>41</v>
      </c>
      <c r="E717" s="3">
        <v>2240150</v>
      </c>
      <c r="F717" s="1">
        <v>1787.8292098962399</v>
      </c>
      <c r="G717" s="1">
        <v>5</v>
      </c>
      <c r="H717" s="1">
        <v>3</v>
      </c>
      <c r="I717" s="1">
        <v>2</v>
      </c>
      <c r="J717" s="1">
        <v>2</v>
      </c>
      <c r="K717" s="1">
        <v>2</v>
      </c>
      <c r="M717" s="4">
        <v>1253</v>
      </c>
      <c r="N717" s="1">
        <v>1417</v>
      </c>
      <c r="O717" s="1">
        <v>1890</v>
      </c>
      <c r="P717" s="1">
        <v>473</v>
      </c>
      <c r="Q717" s="1" t="s">
        <v>42</v>
      </c>
      <c r="S717" s="1" t="s">
        <v>42</v>
      </c>
      <c r="T717" s="1" t="s">
        <v>203</v>
      </c>
      <c r="U717" s="1">
        <v>213</v>
      </c>
      <c r="V717" s="5">
        <v>43685</v>
      </c>
      <c r="W717" s="5">
        <v>42209</v>
      </c>
      <c r="X717" s="1">
        <v>2200000</v>
      </c>
      <c r="Y717" s="1">
        <v>2200000</v>
      </c>
      <c r="Z717" s="5">
        <v>42423</v>
      </c>
      <c r="AA717" s="1">
        <v>2240150</v>
      </c>
      <c r="AB717" s="1" t="s">
        <v>552</v>
      </c>
      <c r="AC717" s="5">
        <v>42464</v>
      </c>
      <c r="AF717" s="1">
        <v>10025</v>
      </c>
      <c r="AI717" s="1" t="s">
        <v>100</v>
      </c>
      <c r="AJ717" s="1">
        <v>1971</v>
      </c>
      <c r="AK717" s="1" t="s">
        <v>81</v>
      </c>
      <c r="AL717" s="1">
        <v>226</v>
      </c>
    </row>
    <row r="718" spans="1:38" x14ac:dyDescent="0.2">
      <c r="A718" s="2" t="str">
        <f>HYPERLINK("https://www.compass.com/listing/189-avenue-c-unit-7e-manhattan-ny-10009/608761306277177961/","189 Avenue C, Unit 7E")</f>
        <v>189 Avenue C, Unit 7E</v>
      </c>
      <c r="B718" s="2" t="str">
        <f>HYPERLINK("https://www.compass.com/building/the-calyx-manhattan-ny/426959097439640773/","The Calyx")</f>
        <v>The Calyx</v>
      </c>
      <c r="C718" s="1" t="s">
        <v>88</v>
      </c>
      <c r="D718" s="1" t="s">
        <v>41</v>
      </c>
      <c r="E718" s="3">
        <v>999000</v>
      </c>
      <c r="F718" s="1">
        <v>885.63829787233999</v>
      </c>
      <c r="G718" s="1">
        <v>4</v>
      </c>
      <c r="H718" s="1">
        <v>2</v>
      </c>
      <c r="I718" s="1">
        <v>2</v>
      </c>
      <c r="J718" s="1">
        <v>2</v>
      </c>
      <c r="K718" s="1">
        <v>2</v>
      </c>
      <c r="M718" s="4">
        <v>1128</v>
      </c>
      <c r="N718" s="1">
        <v>1163</v>
      </c>
      <c r="O718" s="1">
        <v>2926</v>
      </c>
      <c r="P718" s="1">
        <v>1763</v>
      </c>
      <c r="Q718" s="1" t="s">
        <v>42</v>
      </c>
      <c r="S718" s="1" t="s">
        <v>42</v>
      </c>
      <c r="T718" s="1" t="s">
        <v>203</v>
      </c>
      <c r="U718" s="1">
        <v>70</v>
      </c>
      <c r="V718" s="5">
        <v>44314</v>
      </c>
      <c r="W718" s="5">
        <v>44086</v>
      </c>
      <c r="X718" s="1">
        <v>1200000</v>
      </c>
      <c r="Y718" s="1">
        <v>1200000</v>
      </c>
      <c r="Z718" s="5">
        <v>44157</v>
      </c>
      <c r="AA718" s="1">
        <v>999000</v>
      </c>
      <c r="AB718" s="1" t="s">
        <v>553</v>
      </c>
      <c r="AC718" s="5">
        <v>44273</v>
      </c>
      <c r="AF718" s="1">
        <v>10009</v>
      </c>
      <c r="AI718" s="1" t="s">
        <v>356</v>
      </c>
      <c r="AJ718" s="1">
        <v>2011</v>
      </c>
      <c r="AK718" s="1" t="s">
        <v>140</v>
      </c>
      <c r="AL718" s="1">
        <v>35</v>
      </c>
    </row>
    <row r="719" spans="1:38" x14ac:dyDescent="0.2">
      <c r="A719" s="2" t="str">
        <f>HYPERLINK("https://www.compass.com/listing/952-columbus-avenue-unit-4b-manhattan-ny-10025/29430196188743489/","952 Columbus Ave, Unit 4B")</f>
        <v>952 Columbus Ave, Unit 4B</v>
      </c>
      <c r="B719" s="2" t="str">
        <f t="shared" ref="B719:B720" si="120">HYPERLINK("https://www.compass.com/building/952-columbus-ave-manhattan-ny-10025/281973617187710805/","952 Columbus Ave")</f>
        <v>952 Columbus Ave</v>
      </c>
      <c r="C719" s="1" t="s">
        <v>47</v>
      </c>
      <c r="D719" s="1" t="s">
        <v>41</v>
      </c>
      <c r="E719" s="3">
        <v>1018250</v>
      </c>
      <c r="F719" s="1">
        <v>1235.7402912621301</v>
      </c>
      <c r="G719" s="1">
        <v>3</v>
      </c>
      <c r="H719" s="1">
        <v>1</v>
      </c>
      <c r="I719" s="1">
        <v>1</v>
      </c>
      <c r="J719" s="1">
        <v>1</v>
      </c>
      <c r="M719" s="1">
        <v>824</v>
      </c>
      <c r="N719" s="1">
        <v>488</v>
      </c>
      <c r="O719" s="1">
        <v>1070</v>
      </c>
      <c r="P719" s="1">
        <v>582</v>
      </c>
      <c r="Q719" s="1" t="s">
        <v>42</v>
      </c>
      <c r="S719" s="1" t="s">
        <v>42</v>
      </c>
      <c r="T719" s="1" t="s">
        <v>203</v>
      </c>
      <c r="V719" s="5">
        <v>43669</v>
      </c>
      <c r="W719" s="5">
        <v>42734</v>
      </c>
      <c r="X719" s="1">
        <v>995000</v>
      </c>
      <c r="Y719" s="1">
        <v>995000</v>
      </c>
      <c r="Z719" s="5">
        <v>42734</v>
      </c>
      <c r="AA719" s="1">
        <v>1018250</v>
      </c>
      <c r="AB719" s="1" t="s">
        <v>554</v>
      </c>
      <c r="AC719" s="5">
        <v>42964</v>
      </c>
      <c r="AF719" s="1">
        <v>10025</v>
      </c>
      <c r="AI719" s="1" t="s">
        <v>52</v>
      </c>
      <c r="AJ719" s="1">
        <v>2016</v>
      </c>
      <c r="AL719" s="1">
        <v>15</v>
      </c>
    </row>
    <row r="720" spans="1:38" x14ac:dyDescent="0.2">
      <c r="A720" s="2" t="str">
        <f>HYPERLINK("https://www.compass.com/listing/952-columbus-avenue-unit-ph-manhattan-ny-10025/4852278145224549201/","952 Columbus Ave, Unit PH")</f>
        <v>952 Columbus Ave, Unit PH</v>
      </c>
      <c r="B720" s="2" t="str">
        <f t="shared" si="120"/>
        <v>952 Columbus Ave</v>
      </c>
      <c r="C720" s="1" t="s">
        <v>47</v>
      </c>
      <c r="D720" s="1" t="s">
        <v>41</v>
      </c>
      <c r="E720" s="3">
        <v>2750000</v>
      </c>
      <c r="F720" s="1">
        <v>1687.1165644171699</v>
      </c>
      <c r="G720" s="1">
        <v>5</v>
      </c>
      <c r="H720" s="1">
        <v>3</v>
      </c>
      <c r="I720" s="1">
        <v>2</v>
      </c>
      <c r="J720" s="1">
        <v>2</v>
      </c>
      <c r="M720" s="4">
        <v>1630</v>
      </c>
      <c r="N720" s="1">
        <v>1150</v>
      </c>
      <c r="O720" s="1">
        <v>2116</v>
      </c>
      <c r="P720" s="1">
        <v>966</v>
      </c>
      <c r="Q720" s="1" t="s">
        <v>42</v>
      </c>
      <c r="S720" s="1" t="s">
        <v>42</v>
      </c>
      <c r="T720" s="1" t="s">
        <v>203</v>
      </c>
      <c r="V720" s="5">
        <v>43650</v>
      </c>
      <c r="W720" s="5">
        <v>42741</v>
      </c>
      <c r="X720" s="1">
        <v>2750000</v>
      </c>
      <c r="Y720" s="1">
        <v>2750000</v>
      </c>
      <c r="Z720" s="5">
        <v>42741</v>
      </c>
      <c r="AA720" s="1">
        <v>2750000</v>
      </c>
      <c r="AB720" s="1" t="s">
        <v>204</v>
      </c>
      <c r="AC720" s="5">
        <v>42950</v>
      </c>
      <c r="AF720" s="1">
        <v>10025</v>
      </c>
      <c r="AI720" s="1" t="s">
        <v>555</v>
      </c>
      <c r="AJ720" s="1">
        <v>2016</v>
      </c>
      <c r="AL720" s="1">
        <v>15</v>
      </c>
    </row>
    <row r="721" spans="1:38" x14ac:dyDescent="0.2">
      <c r="A721" s="2" t="str">
        <f>HYPERLINK("https://www.compass.com/listing/200-east-21st-street-unit-7e-manhattan-ny-10010/780478610270733209/","200 E 21st St, Unit 7E")</f>
        <v>200 E 21st St, Unit 7E</v>
      </c>
      <c r="B721" s="2" t="str">
        <f>HYPERLINK("https://www.compass.com/building/200-east-21st-street-manhattan-ny/292796762689658005/","200 East 21st Street")</f>
        <v>200 East 21st Street</v>
      </c>
      <c r="C721" s="1" t="s">
        <v>101</v>
      </c>
      <c r="D721" s="1" t="s">
        <v>41</v>
      </c>
      <c r="E721" s="3">
        <v>1725000</v>
      </c>
      <c r="F721" s="1">
        <v>1674.7572815533899</v>
      </c>
      <c r="G721" s="1">
        <v>2</v>
      </c>
      <c r="H721" s="1">
        <v>1</v>
      </c>
      <c r="I721" s="1">
        <v>1</v>
      </c>
      <c r="J721" s="1">
        <v>1</v>
      </c>
      <c r="K721" s="1">
        <v>1</v>
      </c>
      <c r="M721" s="4">
        <v>1030</v>
      </c>
      <c r="N721" s="1">
        <v>987</v>
      </c>
      <c r="O721" s="1">
        <v>2194</v>
      </c>
      <c r="P721" s="1">
        <v>1207</v>
      </c>
      <c r="Q721" s="1" t="s">
        <v>42</v>
      </c>
      <c r="S721" s="1" t="s">
        <v>42</v>
      </c>
      <c r="T721" s="1" t="s">
        <v>203</v>
      </c>
      <c r="U721" s="1">
        <v>1</v>
      </c>
      <c r="V721" s="5">
        <v>44344</v>
      </c>
      <c r="W721" s="5">
        <v>44328</v>
      </c>
      <c r="X721" s="1">
        <v>1725000</v>
      </c>
      <c r="Y721" s="1">
        <v>1725000</v>
      </c>
      <c r="Z721" s="5">
        <v>44330</v>
      </c>
      <c r="AA721" s="1">
        <v>1725000</v>
      </c>
      <c r="AB721" s="1" t="s">
        <v>556</v>
      </c>
      <c r="AC721" s="5">
        <v>44343</v>
      </c>
      <c r="AF721" s="1">
        <v>10010</v>
      </c>
      <c r="AI721" s="1" t="s">
        <v>102</v>
      </c>
      <c r="AJ721" s="1">
        <v>2018</v>
      </c>
      <c r="AK721" s="1" t="s">
        <v>59</v>
      </c>
      <c r="AL721" s="1">
        <v>67</v>
      </c>
    </row>
    <row r="722" spans="1:38" x14ac:dyDescent="0.2">
      <c r="A722" s="2" t="str">
        <f>HYPERLINK("https://www.compass.com/listing/952-columbus-avenue-unit-6a-manhattan-ny-10025/29430197941973441/","952 Columbus Ave, Unit 6A")</f>
        <v>952 Columbus Ave, Unit 6A</v>
      </c>
      <c r="B722" s="2" t="str">
        <f>HYPERLINK("https://www.compass.com/building/952-columbus-ave-manhattan-ny-10025/281973617187710805/","952 Columbus Ave")</f>
        <v>952 Columbus Ave</v>
      </c>
      <c r="C722" s="1" t="s">
        <v>47</v>
      </c>
      <c r="D722" s="1" t="s">
        <v>41</v>
      </c>
      <c r="E722" s="3">
        <v>1781938</v>
      </c>
      <c r="F722" s="1">
        <v>1397.5984313725401</v>
      </c>
      <c r="G722" s="1">
        <v>6</v>
      </c>
      <c r="H722" s="1">
        <v>3</v>
      </c>
      <c r="I722" s="1">
        <v>3</v>
      </c>
      <c r="J722" s="1">
        <v>3</v>
      </c>
      <c r="M722" s="4">
        <v>1275</v>
      </c>
      <c r="N722" s="1">
        <v>755</v>
      </c>
      <c r="O722" s="1">
        <v>1655</v>
      </c>
      <c r="P722" s="1">
        <v>900</v>
      </c>
      <c r="Q722" s="1" t="s">
        <v>42</v>
      </c>
      <c r="S722" s="1" t="s">
        <v>42</v>
      </c>
      <c r="T722" s="1" t="s">
        <v>203</v>
      </c>
      <c r="V722" s="5">
        <v>43650</v>
      </c>
      <c r="W722" s="5">
        <v>42766</v>
      </c>
      <c r="X722" s="1">
        <v>1825000</v>
      </c>
      <c r="Y722" s="1">
        <v>1825000</v>
      </c>
      <c r="Z722" s="5">
        <v>42766</v>
      </c>
      <c r="AA722" s="1">
        <v>1781938</v>
      </c>
      <c r="AB722" s="1" t="s">
        <v>557</v>
      </c>
      <c r="AC722" s="5">
        <v>42951</v>
      </c>
      <c r="AF722" s="1">
        <v>10025</v>
      </c>
      <c r="AI722" s="1" t="s">
        <v>52</v>
      </c>
      <c r="AJ722" s="1">
        <v>2016</v>
      </c>
      <c r="AL722" s="1">
        <v>15</v>
      </c>
    </row>
    <row r="723" spans="1:38" x14ac:dyDescent="0.2">
      <c r="A723" s="2" t="str">
        <f>HYPERLINK("https://www.compass.com/listing/253-east-7th-street-unit-ph-manhattan-ny-10009/215917622603093905/","253 E 7th St, Unit PH")</f>
        <v>253 E 7th St, Unit PH</v>
      </c>
      <c r="B723" s="2" t="str">
        <f>HYPERLINK("https://www.compass.com/building/253-e-7th-st-manhattan-ny-10009/281899070816005877/","253 E 7th St")</f>
        <v>253 E 7th St</v>
      </c>
      <c r="C723" s="1" t="s">
        <v>88</v>
      </c>
      <c r="D723" s="1" t="s">
        <v>41</v>
      </c>
      <c r="E723" s="3">
        <v>3000000</v>
      </c>
      <c r="F723" s="1">
        <v>1813.7847642079801</v>
      </c>
      <c r="G723" s="1">
        <v>4</v>
      </c>
      <c r="H723" s="1">
        <v>3</v>
      </c>
      <c r="I723" s="1">
        <v>2</v>
      </c>
      <c r="J723" s="1">
        <v>2</v>
      </c>
      <c r="K723" s="1">
        <v>2</v>
      </c>
      <c r="M723" s="4">
        <v>1654</v>
      </c>
      <c r="N723" s="1">
        <v>1469</v>
      </c>
      <c r="O723" s="1">
        <v>4112</v>
      </c>
      <c r="P723" s="1">
        <v>2643</v>
      </c>
      <c r="Q723" s="1" t="s">
        <v>42</v>
      </c>
      <c r="S723" s="1" t="s">
        <v>42</v>
      </c>
      <c r="T723" s="1" t="s">
        <v>203</v>
      </c>
      <c r="U723" s="1">
        <v>1</v>
      </c>
      <c r="V723" s="5">
        <v>43823</v>
      </c>
      <c r="W723" s="5">
        <v>43550</v>
      </c>
      <c r="X723" s="1">
        <v>3300000</v>
      </c>
      <c r="Y723" s="1">
        <v>3300000</v>
      </c>
      <c r="Z723" s="5">
        <v>43551</v>
      </c>
      <c r="AA723" s="1">
        <v>3000000</v>
      </c>
      <c r="AB723" s="1" t="s">
        <v>204</v>
      </c>
      <c r="AC723" s="5">
        <v>43810</v>
      </c>
      <c r="AF723" s="1">
        <v>10009</v>
      </c>
      <c r="AI723" s="1" t="s">
        <v>558</v>
      </c>
      <c r="AJ723" s="1">
        <v>2018</v>
      </c>
      <c r="AL723" s="1">
        <v>7</v>
      </c>
    </row>
    <row r="724" spans="1:38" x14ac:dyDescent="0.2">
      <c r="A724" s="2" t="str">
        <f>HYPERLINK("https://www.compass.com/listing/952-columbus-avenue-unit-3a-manhattan-ny-10025/29430194469152497/","952 Columbus Ave, Unit 3A")</f>
        <v>952 Columbus Ave, Unit 3A</v>
      </c>
      <c r="B724" s="2" t="str">
        <f>HYPERLINK("https://www.compass.com/building/952-columbus-ave-manhattan-ny-10025/281973617187710805/","952 Columbus Ave")</f>
        <v>952 Columbus Ave</v>
      </c>
      <c r="C724" s="1" t="s">
        <v>47</v>
      </c>
      <c r="D724" s="1" t="s">
        <v>41</v>
      </c>
      <c r="E724" s="3">
        <v>901151</v>
      </c>
      <c r="F724" s="1">
        <v>1265.6615168539299</v>
      </c>
      <c r="G724" s="1">
        <v>3</v>
      </c>
      <c r="H724" s="1">
        <v>1</v>
      </c>
      <c r="I724" s="1">
        <v>1</v>
      </c>
      <c r="J724" s="1">
        <v>1</v>
      </c>
      <c r="M724" s="1">
        <v>712</v>
      </c>
      <c r="N724" s="1">
        <v>421</v>
      </c>
      <c r="O724" s="1">
        <v>922</v>
      </c>
      <c r="P724" s="1">
        <v>501</v>
      </c>
      <c r="Q724" s="1" t="s">
        <v>42</v>
      </c>
      <c r="S724" s="1" t="s">
        <v>42</v>
      </c>
      <c r="T724" s="1" t="s">
        <v>203</v>
      </c>
      <c r="U724" s="1">
        <v>30</v>
      </c>
      <c r="V724" s="5">
        <v>43650</v>
      </c>
      <c r="W724" s="5">
        <v>42711</v>
      </c>
      <c r="X724" s="1">
        <v>885000</v>
      </c>
      <c r="Y724" s="1">
        <v>885000</v>
      </c>
      <c r="Z724" s="5">
        <v>42741</v>
      </c>
      <c r="AA724" s="1">
        <v>901151</v>
      </c>
      <c r="AB724" s="1" t="s">
        <v>559</v>
      </c>
      <c r="AC724" s="5">
        <v>42955</v>
      </c>
      <c r="AF724" s="1">
        <v>10025</v>
      </c>
      <c r="AI724" s="1" t="s">
        <v>103</v>
      </c>
      <c r="AJ724" s="1">
        <v>2016</v>
      </c>
      <c r="AL724" s="1">
        <v>15</v>
      </c>
    </row>
    <row r="725" spans="1:38" x14ac:dyDescent="0.2">
      <c r="A725" s="2" t="str">
        <f>HYPERLINK("https://www.compass.com/listing/253-east-7th-street-unit-3b-manhattan-ny-10009/176798040542191633/","253 E 7th St, Unit 3B")</f>
        <v>253 E 7th St, Unit 3B</v>
      </c>
      <c r="B725" s="2" t="str">
        <f t="shared" ref="B725:B726" si="121">HYPERLINK("https://www.compass.com/building/253-e-7th-st-manhattan-ny-10009/281899070816005877/","253 E 7th St")</f>
        <v>253 E 7th St</v>
      </c>
      <c r="C725" s="1" t="s">
        <v>88</v>
      </c>
      <c r="D725" s="1" t="s">
        <v>41</v>
      </c>
      <c r="E725" s="3">
        <v>1257539</v>
      </c>
      <c r="F725" s="1">
        <v>1729.76444291609</v>
      </c>
      <c r="G725" s="1">
        <v>3</v>
      </c>
      <c r="H725" s="1">
        <v>1</v>
      </c>
      <c r="I725" s="1">
        <v>1</v>
      </c>
      <c r="J725" s="1">
        <v>1</v>
      </c>
      <c r="K725" s="1">
        <v>1</v>
      </c>
      <c r="M725" s="1">
        <v>727</v>
      </c>
      <c r="N725" s="1">
        <v>576</v>
      </c>
      <c r="O725" s="1">
        <v>1612</v>
      </c>
      <c r="P725" s="1">
        <v>1036</v>
      </c>
      <c r="Q725" s="1" t="s">
        <v>42</v>
      </c>
      <c r="S725" s="1" t="s">
        <v>42</v>
      </c>
      <c r="T725" s="1" t="s">
        <v>203</v>
      </c>
      <c r="U725" s="1">
        <v>15</v>
      </c>
      <c r="V725" s="5">
        <v>44427</v>
      </c>
      <c r="W725" s="5">
        <v>43480</v>
      </c>
      <c r="X725" s="1">
        <v>1300000</v>
      </c>
      <c r="Y725" s="1">
        <v>1300000</v>
      </c>
      <c r="Z725" s="5">
        <v>43496</v>
      </c>
      <c r="AA725" s="1">
        <v>1257538.75</v>
      </c>
      <c r="AB725" s="1" t="s">
        <v>560</v>
      </c>
      <c r="AC725" s="5">
        <v>43853</v>
      </c>
      <c r="AF725" s="1">
        <v>10009</v>
      </c>
      <c r="AI725" s="1" t="s">
        <v>315</v>
      </c>
      <c r="AJ725" s="1">
        <v>2018</v>
      </c>
      <c r="AL725" s="1">
        <v>7</v>
      </c>
    </row>
    <row r="726" spans="1:38" x14ac:dyDescent="0.2">
      <c r="A726" s="2" t="str">
        <f>HYPERLINK("https://www.compass.com/listing/253-east-7th-street-unit-4b-manhattan-ny-10009/208691204005588481/","253 E 7th St, Unit 4B")</f>
        <v>253 E 7th St, Unit 4B</v>
      </c>
      <c r="B726" s="2" t="str">
        <f t="shared" si="121"/>
        <v>253 E 7th St</v>
      </c>
      <c r="C726" s="1" t="s">
        <v>88</v>
      </c>
      <c r="D726" s="1" t="s">
        <v>41</v>
      </c>
      <c r="E726" s="3">
        <v>1438003</v>
      </c>
      <c r="F726" s="1">
        <v>1977.9960522696001</v>
      </c>
      <c r="G726" s="1">
        <v>3</v>
      </c>
      <c r="H726" s="1">
        <v>1</v>
      </c>
      <c r="I726" s="1">
        <v>1</v>
      </c>
      <c r="J726" s="1">
        <v>1</v>
      </c>
      <c r="K726" s="1">
        <v>1</v>
      </c>
      <c r="M726" s="1">
        <v>727</v>
      </c>
      <c r="N726" s="1">
        <v>588</v>
      </c>
      <c r="O726" s="1">
        <v>962</v>
      </c>
      <c r="P726" s="1">
        <v>374</v>
      </c>
      <c r="Q726" s="1" t="s">
        <v>42</v>
      </c>
      <c r="S726" s="1" t="s">
        <v>42</v>
      </c>
      <c r="T726" s="1" t="s">
        <v>203</v>
      </c>
      <c r="U726" s="1">
        <v>1</v>
      </c>
      <c r="V726" s="5">
        <v>44427</v>
      </c>
      <c r="W726" s="5">
        <v>43539</v>
      </c>
      <c r="X726" s="1">
        <v>1425000</v>
      </c>
      <c r="Y726" s="1">
        <v>1425000</v>
      </c>
      <c r="Z726" s="5">
        <v>43540</v>
      </c>
      <c r="AA726" s="1">
        <v>1438003.13</v>
      </c>
      <c r="AB726" s="1" t="s">
        <v>561</v>
      </c>
      <c r="AC726" s="5">
        <v>43819</v>
      </c>
      <c r="AF726" s="1">
        <v>10009</v>
      </c>
      <c r="AI726" s="1" t="s">
        <v>315</v>
      </c>
      <c r="AJ726" s="1">
        <v>2018</v>
      </c>
      <c r="AL726" s="1">
        <v>7</v>
      </c>
    </row>
    <row r="727" spans="1:38" x14ac:dyDescent="0.2">
      <c r="A727" s="2" t="str">
        <f>HYPERLINK("https://www.compass.com/listing/952-columbus-avenue-unit-4a-manhattan-ny-10025/29430195760998145/","952 Columbus Ave, Unit 4A")</f>
        <v>952 Columbus Ave, Unit 4A</v>
      </c>
      <c r="B727" s="2" t="str">
        <f>HYPERLINK("https://www.compass.com/building/952-columbus-ave-manhattan-ny-10025/281973617187710805/","952 Columbus Ave")</f>
        <v>952 Columbus Ave</v>
      </c>
      <c r="C727" s="1" t="s">
        <v>47</v>
      </c>
      <c r="D727" s="1" t="s">
        <v>41</v>
      </c>
      <c r="E727" s="3">
        <v>941881</v>
      </c>
      <c r="F727" s="1">
        <v>1322.8665730337</v>
      </c>
      <c r="G727" s="1">
        <v>3</v>
      </c>
      <c r="H727" s="1">
        <v>1</v>
      </c>
      <c r="I727" s="1">
        <v>1</v>
      </c>
      <c r="J727" s="1">
        <v>1</v>
      </c>
      <c r="M727" s="1">
        <v>712</v>
      </c>
      <c r="N727" s="1">
        <v>501</v>
      </c>
      <c r="O727" s="1">
        <v>922</v>
      </c>
      <c r="P727" s="1">
        <v>421</v>
      </c>
      <c r="Q727" s="1" t="s">
        <v>42</v>
      </c>
      <c r="S727" s="1" t="s">
        <v>42</v>
      </c>
      <c r="T727" s="1" t="s">
        <v>203</v>
      </c>
      <c r="U727" s="1">
        <v>10</v>
      </c>
      <c r="V727" s="5">
        <v>43650</v>
      </c>
      <c r="W727" s="5">
        <v>42756</v>
      </c>
      <c r="X727" s="1">
        <v>925000</v>
      </c>
      <c r="Y727" s="1">
        <v>925000</v>
      </c>
      <c r="Z727" s="5">
        <v>42766</v>
      </c>
      <c r="AA727" s="1">
        <v>941881</v>
      </c>
      <c r="AB727" s="1" t="s">
        <v>562</v>
      </c>
      <c r="AC727" s="5">
        <v>42951</v>
      </c>
      <c r="AF727" s="1">
        <v>10025</v>
      </c>
      <c r="AI727" s="1" t="s">
        <v>103</v>
      </c>
      <c r="AJ727" s="1">
        <v>2016</v>
      </c>
      <c r="AL727" s="1">
        <v>15</v>
      </c>
    </row>
    <row r="728" spans="1:38" x14ac:dyDescent="0.2">
      <c r="A728" s="2" t="str">
        <f>HYPERLINK("https://www.compass.com/listing/175-west-95th-street-unit-14b-manhattan-ny-10025/841523296847974945/","175 W 95th St, Unit 14B")</f>
        <v>175 W 95th St, Unit 14B</v>
      </c>
      <c r="B728" s="2" t="str">
        <f>HYPERLINK("https://www.compass.com/building/175-w-95th-manhattan-ny/292876785429866517/","175 W 95th")</f>
        <v>175 W 95th</v>
      </c>
      <c r="C728" s="1" t="s">
        <v>47</v>
      </c>
      <c r="D728" s="1" t="s">
        <v>41</v>
      </c>
      <c r="E728" s="3">
        <v>1430000</v>
      </c>
      <c r="F728" s="1">
        <v>1462.16768916155</v>
      </c>
      <c r="G728" s="1">
        <v>4</v>
      </c>
      <c r="H728" s="1">
        <v>2</v>
      </c>
      <c r="J728" s="1">
        <v>1</v>
      </c>
      <c r="M728" s="1">
        <v>978</v>
      </c>
      <c r="N728" s="1">
        <v>1054</v>
      </c>
      <c r="O728" s="1">
        <v>1908</v>
      </c>
      <c r="P728" s="1">
        <v>854</v>
      </c>
      <c r="Q728" s="1" t="s">
        <v>42</v>
      </c>
      <c r="S728" s="1" t="s">
        <v>42</v>
      </c>
      <c r="T728" s="1" t="s">
        <v>203</v>
      </c>
      <c r="V728" s="5">
        <v>43909</v>
      </c>
      <c r="AA728" s="1">
        <v>1430000</v>
      </c>
      <c r="AB728" s="1" t="s">
        <v>542</v>
      </c>
      <c r="AC728" s="5">
        <v>43902</v>
      </c>
      <c r="AF728" s="1">
        <v>10025</v>
      </c>
      <c r="AI728" s="1" t="s">
        <v>49</v>
      </c>
      <c r="AJ728" s="1">
        <v>1971</v>
      </c>
      <c r="AK728" s="1" t="s">
        <v>81</v>
      </c>
      <c r="AL728" s="1">
        <v>226</v>
      </c>
    </row>
    <row r="729" spans="1:38" x14ac:dyDescent="0.2">
      <c r="A729" s="2" t="str">
        <f>HYPERLINK("https://www.compass.com/listing/360-central-park-west-unit-11c-manhattan-ny-10025/29508830765301873/","360 Central Park W, Unit 11C")</f>
        <v>360 Central Park W, Unit 11C</v>
      </c>
      <c r="B729" s="2" t="str">
        <f>HYPERLINK("https://www.compass.com/building/360-central-park-west-manhattan-ny/281971555427243781/","360 Central Park West")</f>
        <v>360 Central Park West</v>
      </c>
      <c r="C729" s="1" t="s">
        <v>47</v>
      </c>
      <c r="D729" s="1" t="s">
        <v>41</v>
      </c>
      <c r="E729" s="3">
        <v>3563875</v>
      </c>
      <c r="F729" s="1">
        <v>2296.3112113401999</v>
      </c>
      <c r="G729" s="1">
        <v>4</v>
      </c>
      <c r="H729" s="1">
        <v>2</v>
      </c>
      <c r="I729" s="1">
        <v>2</v>
      </c>
      <c r="J729" s="1">
        <v>2</v>
      </c>
      <c r="K729" s="1">
        <v>2</v>
      </c>
      <c r="M729" s="4">
        <v>1552</v>
      </c>
      <c r="N729" s="1">
        <v>1759</v>
      </c>
      <c r="O729" s="1">
        <v>2897</v>
      </c>
      <c r="P729" s="1">
        <v>1138</v>
      </c>
      <c r="Q729" s="1" t="s">
        <v>42</v>
      </c>
      <c r="S729" s="1" t="s">
        <v>42</v>
      </c>
      <c r="T729" s="1" t="s">
        <v>203</v>
      </c>
      <c r="U729" s="1">
        <v>55</v>
      </c>
      <c r="V729" s="5">
        <v>43678</v>
      </c>
      <c r="W729" s="5">
        <v>42992</v>
      </c>
      <c r="X729" s="1">
        <v>3500000</v>
      </c>
      <c r="Y729" s="1">
        <v>3500000</v>
      </c>
      <c r="Z729" s="5">
        <v>43047</v>
      </c>
      <c r="AA729" s="1">
        <v>3563875</v>
      </c>
      <c r="AB729" s="1" t="s">
        <v>563</v>
      </c>
      <c r="AC729" s="5">
        <v>43572</v>
      </c>
      <c r="AF729" s="1">
        <v>10025</v>
      </c>
      <c r="AJ729" s="1">
        <v>1929</v>
      </c>
      <c r="AK729" s="1" t="s">
        <v>428</v>
      </c>
      <c r="AL729" s="1">
        <v>126</v>
      </c>
    </row>
    <row r="730" spans="1:38" x14ac:dyDescent="0.2">
      <c r="A730" s="2" t="str">
        <f>HYPERLINK("https://www.compass.com/listing/200-east-21st-street-unit-20b-manhattan-ny-10010/789161396913123065/","200 E 21st St, Unit 20B")</f>
        <v>200 E 21st St, Unit 20B</v>
      </c>
      <c r="B730" s="2" t="str">
        <f>HYPERLINK("https://www.compass.com/building/200-east-21st-street-manhattan-ny/292796762689658005/","200 East 21st Street")</f>
        <v>200 East 21st Street</v>
      </c>
      <c r="C730" s="1" t="s">
        <v>101</v>
      </c>
      <c r="D730" s="1" t="s">
        <v>41</v>
      </c>
      <c r="E730" s="3">
        <v>5056030</v>
      </c>
      <c r="F730" s="1">
        <v>2486.97980324643</v>
      </c>
      <c r="G730" s="1">
        <v>4.5</v>
      </c>
      <c r="H730" s="1">
        <v>2</v>
      </c>
      <c r="I730" s="1">
        <v>3</v>
      </c>
      <c r="J730" s="1">
        <v>2.5</v>
      </c>
      <c r="K730" s="1">
        <v>2</v>
      </c>
      <c r="L730" s="1">
        <v>1</v>
      </c>
      <c r="M730" s="4">
        <v>2033</v>
      </c>
      <c r="N730" s="1">
        <v>2100</v>
      </c>
      <c r="O730" s="1">
        <v>4660</v>
      </c>
      <c r="P730" s="1">
        <v>2560</v>
      </c>
      <c r="Q730" s="1" t="s">
        <v>42</v>
      </c>
      <c r="S730" s="1" t="s">
        <v>42</v>
      </c>
      <c r="T730" s="1" t="s">
        <v>203</v>
      </c>
      <c r="U730" s="1">
        <v>28</v>
      </c>
      <c r="V730" s="5">
        <v>44370</v>
      </c>
      <c r="W730" s="5">
        <v>44340</v>
      </c>
      <c r="X730" s="1">
        <v>5375000</v>
      </c>
      <c r="Y730" s="1">
        <v>5375000</v>
      </c>
      <c r="AA730" s="1">
        <v>5056029.9400000004</v>
      </c>
      <c r="AB730" s="1" t="s">
        <v>564</v>
      </c>
      <c r="AC730" s="5">
        <v>44368</v>
      </c>
      <c r="AF730" s="1">
        <v>10010</v>
      </c>
      <c r="AI730" s="1" t="s">
        <v>102</v>
      </c>
      <c r="AJ730" s="1">
        <v>2018</v>
      </c>
      <c r="AK730" s="1" t="s">
        <v>94</v>
      </c>
      <c r="AL730" s="1">
        <v>67</v>
      </c>
    </row>
    <row r="731" spans="1:38" x14ac:dyDescent="0.2">
      <c r="A731" s="2" t="str">
        <f>HYPERLINK("https://www.compass.com/listing/509-east-6th-street-unit-4f-manhattan-ny-10009/29361256402108673/","509 E 6th St, Unit 4F")</f>
        <v>509 E 6th St, Unit 4F</v>
      </c>
      <c r="B731" s="2" t="str">
        <f t="shared" ref="B731:B732" si="122">HYPERLINK("https://www.compass.com/building/the-tortola-condominium-manhattan-ny/281900474909603893/","The Tortola Condominium")</f>
        <v>The Tortola Condominium</v>
      </c>
      <c r="C731" s="1" t="s">
        <v>88</v>
      </c>
      <c r="D731" s="1" t="s">
        <v>41</v>
      </c>
      <c r="E731" s="3">
        <v>784052</v>
      </c>
      <c r="F731" s="1">
        <v>1276.95765472312</v>
      </c>
      <c r="H731" s="1">
        <v>1</v>
      </c>
      <c r="J731" s="1">
        <v>1</v>
      </c>
      <c r="K731" s="1">
        <v>1</v>
      </c>
      <c r="M731" s="1">
        <v>614</v>
      </c>
      <c r="N731" s="1">
        <v>568</v>
      </c>
      <c r="O731" s="1">
        <v>1515</v>
      </c>
      <c r="P731" s="1">
        <v>947</v>
      </c>
      <c r="Q731" s="1" t="s">
        <v>42</v>
      </c>
      <c r="S731" s="1" t="s">
        <v>42</v>
      </c>
      <c r="T731" s="1" t="s">
        <v>203</v>
      </c>
      <c r="AA731" s="1">
        <v>784052</v>
      </c>
      <c r="AB731" s="1" t="s">
        <v>565</v>
      </c>
      <c r="AC731" s="5">
        <v>42356</v>
      </c>
      <c r="AF731" s="1">
        <v>10009</v>
      </c>
      <c r="AJ731" s="1">
        <v>1920</v>
      </c>
      <c r="AL731" s="1">
        <v>8</v>
      </c>
    </row>
    <row r="732" spans="1:38" x14ac:dyDescent="0.2">
      <c r="A732" s="2" t="str">
        <f>HYPERLINK("https://www.compass.com/listing/509-east-6th-street-unit-3f-manhattan-ny-10009/318227311823954065/","509 E 6th St, Unit 3F")</f>
        <v>509 E 6th St, Unit 3F</v>
      </c>
      <c r="B732" s="2" t="str">
        <f t="shared" si="122"/>
        <v>The Tortola Condominium</v>
      </c>
      <c r="C732" s="1" t="s">
        <v>88</v>
      </c>
      <c r="D732" s="1" t="s">
        <v>41</v>
      </c>
      <c r="E732" s="3">
        <v>794235</v>
      </c>
      <c r="F732" s="1">
        <v>1293.54234527687</v>
      </c>
      <c r="H732" s="1">
        <v>1</v>
      </c>
      <c r="J732" s="1">
        <v>1</v>
      </c>
      <c r="M732" s="1">
        <v>614</v>
      </c>
      <c r="N732" s="1">
        <v>466</v>
      </c>
      <c r="O732" s="1">
        <v>1130</v>
      </c>
      <c r="P732" s="1">
        <v>664</v>
      </c>
      <c r="Q732" s="1" t="s">
        <v>42</v>
      </c>
      <c r="S732" s="1" t="s">
        <v>42</v>
      </c>
      <c r="T732" s="1" t="s">
        <v>203</v>
      </c>
      <c r="AA732" s="1">
        <v>794235</v>
      </c>
      <c r="AB732" s="1" t="s">
        <v>566</v>
      </c>
      <c r="AC732" s="5">
        <v>42395</v>
      </c>
      <c r="AF732" s="1">
        <v>10009</v>
      </c>
      <c r="AJ732" s="1">
        <v>1920</v>
      </c>
      <c r="AL732" s="1">
        <v>8</v>
      </c>
    </row>
    <row r="733" spans="1:38" x14ac:dyDescent="0.2">
      <c r="A733" s="2" t="str">
        <f>HYPERLINK("https://www.compass.com/listing/253-east-7th-street-unit-th-manhattan-ny-10009/562948924133194177/","253 E 7th St")</f>
        <v>253 E 7th St</v>
      </c>
      <c r="B733" s="2" t="str">
        <f>HYPERLINK("https://www.compass.com/building/253-e-7th-st-manhattan-ny-10009/281899070816005877/","253 E 7th St")</f>
        <v>253 E 7th St</v>
      </c>
      <c r="C733" s="1" t="s">
        <v>88</v>
      </c>
      <c r="D733" s="1" t="s">
        <v>41</v>
      </c>
      <c r="E733" s="3">
        <v>1950000</v>
      </c>
      <c r="F733" s="1">
        <v>1194.85294117647</v>
      </c>
      <c r="G733" s="1">
        <v>5</v>
      </c>
      <c r="H733" s="1">
        <v>2</v>
      </c>
      <c r="I733" s="1">
        <v>3</v>
      </c>
      <c r="J733" s="1">
        <v>3</v>
      </c>
      <c r="K733" s="1">
        <v>3</v>
      </c>
      <c r="M733" s="4">
        <v>1632</v>
      </c>
      <c r="N733" s="1">
        <v>1406</v>
      </c>
      <c r="O733" s="1">
        <v>4342</v>
      </c>
      <c r="P733" s="1">
        <v>2936</v>
      </c>
      <c r="Q733" s="1" t="s">
        <v>42</v>
      </c>
      <c r="S733" s="1" t="s">
        <v>42</v>
      </c>
      <c r="T733" s="1" t="s">
        <v>203</v>
      </c>
      <c r="U733" s="1">
        <v>636</v>
      </c>
      <c r="V733" s="5">
        <v>44295</v>
      </c>
      <c r="W733" s="5">
        <v>43481</v>
      </c>
      <c r="X733" s="1">
        <v>2500000</v>
      </c>
      <c r="Y733" s="1">
        <v>1999000</v>
      </c>
      <c r="Z733" s="5">
        <v>44212</v>
      </c>
      <c r="AA733" s="1">
        <v>1950000</v>
      </c>
      <c r="AB733" s="1" t="s">
        <v>567</v>
      </c>
      <c r="AC733" s="5">
        <v>44279</v>
      </c>
      <c r="AF733" s="1">
        <v>10009</v>
      </c>
      <c r="AI733" s="1" t="s">
        <v>568</v>
      </c>
      <c r="AJ733" s="1">
        <v>2018</v>
      </c>
      <c r="AL733" s="1">
        <v>7</v>
      </c>
    </row>
    <row r="734" spans="1:38" x14ac:dyDescent="0.2">
      <c r="A734" s="2" t="str">
        <f>HYPERLINK("https://www.compass.com/listing/200-east-21st-street-unit-7a-manhattan-ny-10010/193377660036998161/","200 E 21st St, Unit 7A")</f>
        <v>200 E 21st St, Unit 7A</v>
      </c>
      <c r="B734" s="2" t="str">
        <f t="shared" ref="B734:B736" si="123">HYPERLINK("https://www.compass.com/building/200-east-21st-street-manhattan-ny/292796762689658005/","200 East 21st Street")</f>
        <v>200 East 21st Street</v>
      </c>
      <c r="C734" s="1" t="s">
        <v>101</v>
      </c>
      <c r="D734" s="1" t="s">
        <v>41</v>
      </c>
      <c r="E734" s="3">
        <v>2515000</v>
      </c>
      <c r="F734" s="1">
        <v>1783.68794326241</v>
      </c>
      <c r="G734" s="1">
        <v>4</v>
      </c>
      <c r="H734" s="1">
        <v>2</v>
      </c>
      <c r="I734" s="1">
        <v>2</v>
      </c>
      <c r="J734" s="1">
        <v>2</v>
      </c>
      <c r="K734" s="1">
        <v>2</v>
      </c>
      <c r="M734" s="4">
        <v>1410</v>
      </c>
      <c r="N734" s="1">
        <v>1380</v>
      </c>
      <c r="O734" s="1">
        <v>3973</v>
      </c>
      <c r="P734" s="1">
        <v>2593</v>
      </c>
      <c r="Q734" s="1" t="s">
        <v>42</v>
      </c>
      <c r="S734" s="1" t="s">
        <v>42</v>
      </c>
      <c r="T734" s="1" t="s">
        <v>203</v>
      </c>
      <c r="V734" s="5">
        <v>43694</v>
      </c>
      <c r="W734" s="5">
        <v>43519</v>
      </c>
      <c r="X734" s="1">
        <v>2625000</v>
      </c>
      <c r="Y734" s="1">
        <v>2625000</v>
      </c>
      <c r="Z734" s="5">
        <v>43519</v>
      </c>
      <c r="AA734" s="1">
        <v>2515000</v>
      </c>
      <c r="AB734" s="1" t="s">
        <v>569</v>
      </c>
      <c r="AC734" s="5">
        <v>43634</v>
      </c>
      <c r="AF734" s="1">
        <v>10010</v>
      </c>
      <c r="AI734" s="1" t="s">
        <v>102</v>
      </c>
      <c r="AJ734" s="1">
        <v>2018</v>
      </c>
      <c r="AK734" s="1" t="s">
        <v>55</v>
      </c>
      <c r="AL734" s="1">
        <v>67</v>
      </c>
    </row>
    <row r="735" spans="1:38" x14ac:dyDescent="0.2">
      <c r="A735" s="2" t="str">
        <f>HYPERLINK("https://www.compass.com/listing/200-east-21st-street-unit-6a-manhattan-ny-10010/54114806684311281/","200 E 21st St, Unit 6A")</f>
        <v>200 E 21st St, Unit 6A</v>
      </c>
      <c r="B735" s="2" t="str">
        <f t="shared" si="123"/>
        <v>200 East 21st Street</v>
      </c>
      <c r="C735" s="1" t="s">
        <v>101</v>
      </c>
      <c r="D735" s="1" t="s">
        <v>41</v>
      </c>
      <c r="E735" s="3">
        <v>2575000</v>
      </c>
      <c r="F735" s="1">
        <v>1826.24113475177</v>
      </c>
      <c r="G735" s="1">
        <v>4</v>
      </c>
      <c r="H735" s="1">
        <v>2</v>
      </c>
      <c r="I735" s="1">
        <v>2</v>
      </c>
      <c r="J735" s="1">
        <v>2</v>
      </c>
      <c r="K735" s="1">
        <v>2</v>
      </c>
      <c r="M735" s="4">
        <v>1410</v>
      </c>
      <c r="N735" s="1">
        <v>1379</v>
      </c>
      <c r="O735" s="1">
        <v>3962</v>
      </c>
      <c r="P735" s="1">
        <v>2583</v>
      </c>
      <c r="Q735" s="1" t="s">
        <v>42</v>
      </c>
      <c r="S735" s="1" t="s">
        <v>42</v>
      </c>
      <c r="T735" s="1" t="s">
        <v>203</v>
      </c>
      <c r="U735" s="1">
        <v>383</v>
      </c>
      <c r="V735" s="5">
        <v>43676</v>
      </c>
      <c r="W735" s="5">
        <v>43139</v>
      </c>
      <c r="X735" s="1">
        <v>2575000</v>
      </c>
      <c r="Y735" s="1">
        <v>2575000</v>
      </c>
      <c r="AA735" s="1">
        <v>2575000</v>
      </c>
      <c r="AB735" s="1" t="s">
        <v>570</v>
      </c>
      <c r="AC735" s="5">
        <v>43623</v>
      </c>
      <c r="AF735" s="1">
        <v>10010</v>
      </c>
      <c r="AI735" s="1" t="s">
        <v>102</v>
      </c>
      <c r="AJ735" s="1">
        <v>2018</v>
      </c>
      <c r="AK735" s="1" t="s">
        <v>55</v>
      </c>
      <c r="AL735" s="1">
        <v>67</v>
      </c>
    </row>
    <row r="736" spans="1:38" x14ac:dyDescent="0.2">
      <c r="A736" s="2" t="str">
        <f>HYPERLINK("https://www.compass.com/listing/200-east-21st-street-unit-4a-manhattan-ny-10010/96242684720672881/","200 E 21st St, Unit 4A")</f>
        <v>200 E 21st St, Unit 4A</v>
      </c>
      <c r="B736" s="2" t="str">
        <f t="shared" si="123"/>
        <v>200 East 21st Street</v>
      </c>
      <c r="C736" s="1" t="s">
        <v>101</v>
      </c>
      <c r="D736" s="1" t="s">
        <v>41</v>
      </c>
      <c r="E736" s="3">
        <v>2475000</v>
      </c>
      <c r="F736" s="1">
        <v>1755.31914893617</v>
      </c>
      <c r="G736" s="1">
        <v>4</v>
      </c>
      <c r="H736" s="1">
        <v>2</v>
      </c>
      <c r="I736" s="1">
        <v>2</v>
      </c>
      <c r="J736" s="1">
        <v>2</v>
      </c>
      <c r="K736" s="1">
        <v>2</v>
      </c>
      <c r="M736" s="4">
        <v>1410</v>
      </c>
      <c r="N736" s="1">
        <v>1368</v>
      </c>
      <c r="O736" s="1">
        <v>3930</v>
      </c>
      <c r="P736" s="1">
        <v>2562</v>
      </c>
      <c r="Q736" s="1" t="s">
        <v>42</v>
      </c>
      <c r="S736" s="1" t="s">
        <v>42</v>
      </c>
      <c r="T736" s="1" t="s">
        <v>203</v>
      </c>
      <c r="U736" s="1">
        <v>62</v>
      </c>
      <c r="V736" s="5">
        <v>43859</v>
      </c>
      <c r="W736" s="5">
        <v>43322</v>
      </c>
      <c r="X736" s="1">
        <v>2475000</v>
      </c>
      <c r="Y736" s="1">
        <v>2475000</v>
      </c>
      <c r="Z736" s="5">
        <v>43385</v>
      </c>
      <c r="AA736" s="1">
        <v>2475000</v>
      </c>
      <c r="AB736" s="1" t="s">
        <v>571</v>
      </c>
      <c r="AC736" s="5">
        <v>43621</v>
      </c>
      <c r="AF736" s="1">
        <v>10010</v>
      </c>
      <c r="AI736" s="1" t="s">
        <v>102</v>
      </c>
      <c r="AJ736" s="1">
        <v>2018</v>
      </c>
      <c r="AK736" s="1" t="s">
        <v>55</v>
      </c>
      <c r="AL736" s="1">
        <v>67</v>
      </c>
    </row>
    <row r="737" spans="1:38" x14ac:dyDescent="0.2">
      <c r="A737" s="2" t="str">
        <f>HYPERLINK("https://www.compass.com/listing/30-park-place-unit-39d-manhattan-ny-10007/29357552680572961/","30 Park Pl, Unit 39D")</f>
        <v>30 Park Pl, Unit 39D</v>
      </c>
      <c r="B737" s="2" t="str">
        <f t="shared" ref="B737:B738" si="124">HYPERLINK("https://www.compass.com/building/30-park-pl-manhattan-ny-10007/281896912905317605/","30 Park Pl")</f>
        <v>30 Park Pl</v>
      </c>
      <c r="C737" s="1" t="s">
        <v>40</v>
      </c>
      <c r="D737" s="1" t="s">
        <v>41</v>
      </c>
      <c r="E737" s="3">
        <v>988250</v>
      </c>
      <c r="F737" s="1">
        <v>1984.4377510040099</v>
      </c>
      <c r="G737" s="1">
        <v>2</v>
      </c>
      <c r="H737" s="1" t="s">
        <v>77</v>
      </c>
      <c r="I737" s="1">
        <v>1</v>
      </c>
      <c r="J737" s="1">
        <v>1</v>
      </c>
      <c r="K737" s="1">
        <v>1</v>
      </c>
      <c r="M737" s="1">
        <v>498</v>
      </c>
      <c r="N737" s="1">
        <v>386</v>
      </c>
      <c r="O737" s="1">
        <v>1369</v>
      </c>
      <c r="P737" s="1">
        <v>983</v>
      </c>
      <c r="Q737" s="1" t="s">
        <v>42</v>
      </c>
      <c r="S737" s="1" t="s">
        <v>42</v>
      </c>
      <c r="T737" s="1" t="s">
        <v>203</v>
      </c>
      <c r="V737" s="5">
        <v>43662</v>
      </c>
      <c r="W737" s="5">
        <v>42705</v>
      </c>
      <c r="X737" s="1">
        <v>1000000</v>
      </c>
      <c r="Y737" s="1">
        <v>1000000</v>
      </c>
      <c r="Z737" s="5">
        <v>42705</v>
      </c>
      <c r="AA737" s="1">
        <v>988250</v>
      </c>
      <c r="AB737" s="1" t="s">
        <v>572</v>
      </c>
      <c r="AC737" s="5">
        <v>42887</v>
      </c>
      <c r="AF737" s="1">
        <v>10007</v>
      </c>
      <c r="AJ737" s="1">
        <v>2016</v>
      </c>
      <c r="AK737" s="1" t="s">
        <v>81</v>
      </c>
      <c r="AL737" s="1">
        <v>157</v>
      </c>
    </row>
    <row r="738" spans="1:38" x14ac:dyDescent="0.2">
      <c r="A738" s="2" t="str">
        <f>HYPERLINK("https://www.compass.com/listing/30-park-place-unit-39e-manhattan-ny-10007/29357553058057153/","30 Park Pl, Unit 39E")</f>
        <v>30 Park Pl, Unit 39E</v>
      </c>
      <c r="B738" s="2" t="str">
        <f t="shared" si="124"/>
        <v>30 Park Pl</v>
      </c>
      <c r="C738" s="1" t="s">
        <v>40</v>
      </c>
      <c r="D738" s="1" t="s">
        <v>41</v>
      </c>
      <c r="E738" s="3">
        <v>1043706</v>
      </c>
      <c r="F738" s="1">
        <v>2083.2455089820301</v>
      </c>
      <c r="G738" s="1">
        <v>2</v>
      </c>
      <c r="H738" s="1" t="s">
        <v>77</v>
      </c>
      <c r="I738" s="1">
        <v>1</v>
      </c>
      <c r="J738" s="1">
        <v>1</v>
      </c>
      <c r="K738" s="1">
        <v>1</v>
      </c>
      <c r="M738" s="1">
        <v>501</v>
      </c>
      <c r="N738" s="1">
        <v>389</v>
      </c>
      <c r="O738" s="1">
        <v>1381</v>
      </c>
      <c r="P738" s="1">
        <v>992</v>
      </c>
      <c r="Q738" s="1" t="s">
        <v>42</v>
      </c>
      <c r="S738" s="1" t="s">
        <v>42</v>
      </c>
      <c r="T738" s="1" t="s">
        <v>203</v>
      </c>
      <c r="V738" s="5">
        <v>43662</v>
      </c>
      <c r="W738" s="5">
        <v>42705</v>
      </c>
      <c r="X738" s="1">
        <v>1025000</v>
      </c>
      <c r="Y738" s="1">
        <v>1025000</v>
      </c>
      <c r="Z738" s="5">
        <v>42705</v>
      </c>
      <c r="AA738" s="1">
        <v>1043706</v>
      </c>
      <c r="AB738" s="1" t="s">
        <v>573</v>
      </c>
      <c r="AC738" s="5">
        <v>42866</v>
      </c>
      <c r="AF738" s="1">
        <v>10007</v>
      </c>
      <c r="AJ738" s="1">
        <v>2016</v>
      </c>
      <c r="AK738" s="1" t="s">
        <v>81</v>
      </c>
      <c r="AL738" s="1">
        <v>157</v>
      </c>
    </row>
    <row r="739" spans="1:38" x14ac:dyDescent="0.2">
      <c r="A739" s="2" t="str">
        <f>HYPERLINK("https://www.compass.com/listing/200-east-21st-street-unit-10a-manhattan-ny-10010/276576954088526897/","200 E 21st St, Unit 10A")</f>
        <v>200 E 21st St, Unit 10A</v>
      </c>
      <c r="B739" s="2" t="str">
        <f t="shared" ref="B739:B741" si="125">HYPERLINK("https://www.compass.com/building/200-east-21st-street-manhattan-ny/292796762689658005/","200 East 21st Street")</f>
        <v>200 East 21st Street</v>
      </c>
      <c r="C739" s="1" t="s">
        <v>101</v>
      </c>
      <c r="D739" s="1" t="s">
        <v>41</v>
      </c>
      <c r="E739" s="3">
        <v>2700250</v>
      </c>
      <c r="F739" s="1">
        <v>1889.60811756473</v>
      </c>
      <c r="G739" s="1">
        <v>4</v>
      </c>
      <c r="H739" s="1">
        <v>2</v>
      </c>
      <c r="I739" s="1">
        <v>2</v>
      </c>
      <c r="J739" s="1">
        <v>2</v>
      </c>
      <c r="K739" s="1">
        <v>2</v>
      </c>
      <c r="M739" s="4">
        <v>1429</v>
      </c>
      <c r="N739" s="1">
        <v>1411</v>
      </c>
      <c r="O739" s="1">
        <v>2503</v>
      </c>
      <c r="P739" s="1">
        <v>1092</v>
      </c>
      <c r="Q739" s="1" t="s">
        <v>42</v>
      </c>
      <c r="S739" s="1" t="s">
        <v>42</v>
      </c>
      <c r="T739" s="1" t="s">
        <v>203</v>
      </c>
      <c r="U739" s="1">
        <v>44</v>
      </c>
      <c r="V739" s="5">
        <v>43731</v>
      </c>
      <c r="W739" s="5">
        <v>43634</v>
      </c>
      <c r="X739" s="1">
        <v>2750000</v>
      </c>
      <c r="Y739" s="1">
        <v>2750000</v>
      </c>
      <c r="Z739" s="5">
        <v>43678</v>
      </c>
      <c r="AA739" s="1">
        <v>2700250</v>
      </c>
      <c r="AB739" s="1" t="s">
        <v>574</v>
      </c>
      <c r="AC739" s="5">
        <v>43720</v>
      </c>
      <c r="AF739" s="1">
        <v>10010</v>
      </c>
      <c r="AI739" s="1" t="s">
        <v>102</v>
      </c>
      <c r="AJ739" s="1">
        <v>2018</v>
      </c>
      <c r="AK739" s="1" t="s">
        <v>55</v>
      </c>
      <c r="AL739" s="1">
        <v>67</v>
      </c>
    </row>
    <row r="740" spans="1:38" x14ac:dyDescent="0.2">
      <c r="A740" s="2" t="str">
        <f>HYPERLINK("https://www.compass.com/listing/200-east-21st-street-unit-8a-manhattan-ny-10010/29512889366750145/","200 E 21st St, Unit 8A")</f>
        <v>200 E 21st St, Unit 8A</v>
      </c>
      <c r="B740" s="2" t="str">
        <f t="shared" si="125"/>
        <v>200 East 21st Street</v>
      </c>
      <c r="C740" s="1" t="s">
        <v>101</v>
      </c>
      <c r="D740" s="1" t="s">
        <v>41</v>
      </c>
      <c r="E740" s="3">
        <v>2650000</v>
      </c>
      <c r="F740" s="1">
        <v>1854.4436668999299</v>
      </c>
      <c r="G740" s="1">
        <v>4</v>
      </c>
      <c r="H740" s="1">
        <v>2</v>
      </c>
      <c r="I740" s="1">
        <v>2</v>
      </c>
      <c r="J740" s="1">
        <v>2</v>
      </c>
      <c r="K740" s="1">
        <v>2</v>
      </c>
      <c r="M740" s="4">
        <v>1429</v>
      </c>
      <c r="N740" s="1">
        <v>1404</v>
      </c>
      <c r="O740" s="1">
        <v>4034</v>
      </c>
      <c r="P740" s="1">
        <v>2630</v>
      </c>
      <c r="Q740" s="1" t="s">
        <v>42</v>
      </c>
      <c r="S740" s="1" t="s">
        <v>42</v>
      </c>
      <c r="T740" s="1" t="s">
        <v>203</v>
      </c>
      <c r="U740" s="1">
        <v>140</v>
      </c>
      <c r="V740" s="5">
        <v>44225</v>
      </c>
      <c r="W740" s="5">
        <v>43260</v>
      </c>
      <c r="X740" s="1">
        <v>2675000</v>
      </c>
      <c r="Y740" s="1">
        <v>2675000</v>
      </c>
      <c r="Z740" s="5">
        <v>43400</v>
      </c>
      <c r="AA740" s="1">
        <v>2650000</v>
      </c>
      <c r="AB740" s="1" t="s">
        <v>575</v>
      </c>
      <c r="AC740" s="5">
        <v>43578</v>
      </c>
      <c r="AF740" s="1">
        <v>10010</v>
      </c>
      <c r="AI740" s="1" t="s">
        <v>115</v>
      </c>
      <c r="AJ740" s="1">
        <v>2018</v>
      </c>
      <c r="AK740" s="1" t="s">
        <v>87</v>
      </c>
      <c r="AL740" s="1">
        <v>67</v>
      </c>
    </row>
    <row r="741" spans="1:38" x14ac:dyDescent="0.2">
      <c r="A741" s="2" t="str">
        <f>HYPERLINK("https://www.compass.com/listing/200-east-21st-street-unit-3a-manhattan-ny-10010/85454713247602145/","200 E 21st St, Unit 3A")</f>
        <v>200 E 21st St, Unit 3A</v>
      </c>
      <c r="B741" s="2" t="str">
        <f t="shared" si="125"/>
        <v>200 East 21st Street</v>
      </c>
      <c r="C741" s="1" t="s">
        <v>101</v>
      </c>
      <c r="D741" s="1" t="s">
        <v>41</v>
      </c>
      <c r="E741" s="3">
        <v>2585000</v>
      </c>
      <c r="F741" s="1">
        <v>1833.3333333333301</v>
      </c>
      <c r="G741" s="1">
        <v>4</v>
      </c>
      <c r="H741" s="1">
        <v>2</v>
      </c>
      <c r="I741" s="1">
        <v>2</v>
      </c>
      <c r="J741" s="1">
        <v>2</v>
      </c>
      <c r="K741" s="1">
        <v>2</v>
      </c>
      <c r="M741" s="4">
        <v>1410</v>
      </c>
      <c r="N741" s="1">
        <v>1389</v>
      </c>
      <c r="O741" s="1">
        <v>3990</v>
      </c>
      <c r="P741" s="1">
        <v>2601</v>
      </c>
      <c r="Q741" s="1" t="s">
        <v>42</v>
      </c>
      <c r="S741" s="1" t="s">
        <v>42</v>
      </c>
      <c r="T741" s="1" t="s">
        <v>203</v>
      </c>
      <c r="U741" s="1">
        <v>195</v>
      </c>
      <c r="V741" s="5">
        <v>43694</v>
      </c>
      <c r="W741" s="5">
        <v>43370</v>
      </c>
      <c r="X741" s="1">
        <v>2585000</v>
      </c>
      <c r="Y741" s="1">
        <v>2585000</v>
      </c>
      <c r="Z741" s="5">
        <v>43565</v>
      </c>
      <c r="AA741" s="1">
        <v>2585000</v>
      </c>
      <c r="AB741" s="1" t="s">
        <v>576</v>
      </c>
      <c r="AC741" s="5">
        <v>43626</v>
      </c>
      <c r="AF741" s="1">
        <v>10010</v>
      </c>
      <c r="AI741" s="1" t="s">
        <v>102</v>
      </c>
      <c r="AJ741" s="1">
        <v>2018</v>
      </c>
      <c r="AK741" s="1" t="s">
        <v>55</v>
      </c>
      <c r="AL741" s="1">
        <v>67</v>
      </c>
    </row>
    <row r="742" spans="1:38" x14ac:dyDescent="0.2">
      <c r="A742" s="2" t="str">
        <f>HYPERLINK("https://www.compass.com/listing/150-east-23rd-street-unit-5d-manhattan-ny-10010/122395327528561297/","150 E 23rd St, Unit 5D")</f>
        <v>150 E 23rd St, Unit 5D</v>
      </c>
      <c r="B742" s="2" t="str">
        <f>HYPERLINK("https://www.compass.com/building/celeste-gramercy-manhattan-ny/292795972759607813/","Celeste Gramercy")</f>
        <v>Celeste Gramercy</v>
      </c>
      <c r="C742" s="1" t="s">
        <v>101</v>
      </c>
      <c r="D742" s="1" t="s">
        <v>41</v>
      </c>
      <c r="E742" s="3">
        <v>2300000</v>
      </c>
      <c r="F742" s="1">
        <v>1766.5130568356301</v>
      </c>
      <c r="G742" s="1">
        <v>5.5</v>
      </c>
      <c r="H742" s="1">
        <v>2</v>
      </c>
      <c r="I742" s="1">
        <v>3</v>
      </c>
      <c r="J742" s="1">
        <v>2.5</v>
      </c>
      <c r="K742" s="1">
        <v>2</v>
      </c>
      <c r="L742" s="1">
        <v>1</v>
      </c>
      <c r="M742" s="4">
        <v>1302</v>
      </c>
      <c r="N742" s="1">
        <v>1756</v>
      </c>
      <c r="O742" s="1">
        <v>3402</v>
      </c>
      <c r="P742" s="1">
        <v>1646</v>
      </c>
      <c r="Q742" s="1" t="s">
        <v>42</v>
      </c>
      <c r="S742" s="1" t="s">
        <v>42</v>
      </c>
      <c r="T742" s="1" t="s">
        <v>203</v>
      </c>
      <c r="U742" s="1">
        <v>803</v>
      </c>
      <c r="V742" s="5">
        <v>44408</v>
      </c>
      <c r="W742" s="5">
        <v>43420</v>
      </c>
      <c r="X742" s="1">
        <v>2375000</v>
      </c>
      <c r="Y742" s="1">
        <v>2375000</v>
      </c>
      <c r="Z742" s="5">
        <v>44317</v>
      </c>
      <c r="AA742" s="1">
        <v>2300000</v>
      </c>
      <c r="AB742" s="1" t="s">
        <v>204</v>
      </c>
      <c r="AC742" s="5">
        <v>44407</v>
      </c>
      <c r="AF742" s="1">
        <v>10010</v>
      </c>
      <c r="AI742" s="1" t="s">
        <v>45</v>
      </c>
      <c r="AJ742" s="1">
        <v>2018</v>
      </c>
      <c r="AK742" s="1" t="s">
        <v>81</v>
      </c>
      <c r="AL742" s="1">
        <v>51</v>
      </c>
    </row>
    <row r="743" spans="1:38" x14ac:dyDescent="0.2">
      <c r="A743" s="2" t="str">
        <f>HYPERLINK("https://www.compass.com/listing/360-central-park-west-unit-9e-manhattan-ny-10025/803341679969070033/","360 Central Park W, Unit 9E")</f>
        <v>360 Central Park W, Unit 9E</v>
      </c>
      <c r="B743" s="2" t="str">
        <f>HYPERLINK("https://www.compass.com/building/360-central-park-west-manhattan-ny/281971555427243781/","360 Central Park West")</f>
        <v>360 Central Park West</v>
      </c>
      <c r="C743" s="1" t="s">
        <v>47</v>
      </c>
      <c r="D743" s="1" t="s">
        <v>41</v>
      </c>
      <c r="E743" s="3">
        <v>3146392</v>
      </c>
      <c r="F743" s="1">
        <v>1618.5144032921801</v>
      </c>
      <c r="G743" s="1">
        <v>7</v>
      </c>
      <c r="H743" s="1">
        <v>3</v>
      </c>
      <c r="I743" s="1">
        <v>2</v>
      </c>
      <c r="J743" s="1">
        <v>2</v>
      </c>
      <c r="K743" s="1">
        <v>2</v>
      </c>
      <c r="M743" s="4">
        <v>1944</v>
      </c>
      <c r="N743" s="1">
        <v>2197</v>
      </c>
      <c r="O743" s="1">
        <v>3617</v>
      </c>
      <c r="P743" s="1">
        <v>1420</v>
      </c>
      <c r="Q743" s="1" t="s">
        <v>42</v>
      </c>
      <c r="S743" s="1" t="s">
        <v>42</v>
      </c>
      <c r="T743" s="1" t="s">
        <v>203</v>
      </c>
      <c r="U743" s="1">
        <v>668</v>
      </c>
      <c r="V743" s="5">
        <v>43678</v>
      </c>
      <c r="W743" s="5">
        <v>42422</v>
      </c>
      <c r="X743" s="1">
        <v>3300000</v>
      </c>
      <c r="Y743" s="1">
        <v>3300000</v>
      </c>
      <c r="AA743" s="1">
        <v>3146392</v>
      </c>
      <c r="AB743" s="1" t="s">
        <v>204</v>
      </c>
      <c r="AC743" s="5">
        <v>43090</v>
      </c>
      <c r="AF743" s="1">
        <v>10025</v>
      </c>
      <c r="AJ743" s="1">
        <v>1929</v>
      </c>
      <c r="AK743" s="1" t="s">
        <v>428</v>
      </c>
      <c r="AL743" s="1">
        <v>126</v>
      </c>
    </row>
    <row r="744" spans="1:38" x14ac:dyDescent="0.2">
      <c r="A744" s="2" t="str">
        <f>HYPERLINK("https://www.compass.com/listing/225-west-86th-street-unit-911-manhattan-ny-10024/135495067807790625/","225 W 86th St, Unit 911")</f>
        <v>225 W 86th St, Unit 911</v>
      </c>
      <c r="B744" s="2" t="str">
        <f>HYPERLINK("https://www.compass.com/building/the-belnord-manhattan-ny/292869672083214101/","The Belnord")</f>
        <v>The Belnord</v>
      </c>
      <c r="C744" s="1" t="s">
        <v>47</v>
      </c>
      <c r="D744" s="1" t="s">
        <v>41</v>
      </c>
      <c r="E744" s="3">
        <v>2034479</v>
      </c>
      <c r="F744" s="1">
        <v>1246.6170343137201</v>
      </c>
      <c r="G744" s="1">
        <v>4</v>
      </c>
      <c r="H744" s="1">
        <v>2</v>
      </c>
      <c r="I744" s="1">
        <v>2</v>
      </c>
      <c r="J744" s="1">
        <v>2</v>
      </c>
      <c r="K744" s="1">
        <v>2</v>
      </c>
      <c r="M744" s="4">
        <v>1632</v>
      </c>
      <c r="N744" s="1">
        <v>1423</v>
      </c>
      <c r="O744" s="1">
        <v>3643</v>
      </c>
      <c r="P744" s="1">
        <v>2220</v>
      </c>
      <c r="Q744" s="1" t="s">
        <v>42</v>
      </c>
      <c r="S744" s="1" t="s">
        <v>42</v>
      </c>
      <c r="T744" s="1" t="s">
        <v>203</v>
      </c>
      <c r="V744" s="5">
        <v>43697</v>
      </c>
      <c r="W744" s="5">
        <v>43439</v>
      </c>
      <c r="X744" s="1">
        <v>4280000</v>
      </c>
      <c r="Y744" s="1">
        <v>4280000</v>
      </c>
      <c r="Z744" s="5">
        <v>43439</v>
      </c>
      <c r="AA744" s="1">
        <v>2034479</v>
      </c>
      <c r="AB744" s="1" t="s">
        <v>204</v>
      </c>
      <c r="AC744" s="5">
        <v>43635</v>
      </c>
      <c r="AF744" s="1">
        <v>10024</v>
      </c>
      <c r="AI744" s="1" t="s">
        <v>67</v>
      </c>
      <c r="AJ744" s="1">
        <v>1908</v>
      </c>
      <c r="AK744" s="1" t="s">
        <v>81</v>
      </c>
      <c r="AL744" s="1">
        <v>213</v>
      </c>
    </row>
    <row r="745" spans="1:38" x14ac:dyDescent="0.2">
      <c r="A745" s="2" t="str">
        <f>HYPERLINK("https://www.compass.com/listing/952-columbus-avenue-unit-2b-manhattan-ny-10025/226775874849001121/","952 Columbus Ave, Unit 2B")</f>
        <v>952 Columbus Ave, Unit 2B</v>
      </c>
      <c r="B745" s="2" t="str">
        <f>HYPERLINK("https://www.compass.com/building/952-columbus-ave-manhattan-ny-10025/281973617187710805/","952 Columbus Ave")</f>
        <v>952 Columbus Ave</v>
      </c>
      <c r="C745" s="1" t="s">
        <v>47</v>
      </c>
      <c r="D745" s="1" t="s">
        <v>41</v>
      </c>
      <c r="E745" s="3">
        <v>935000</v>
      </c>
      <c r="F745" s="1">
        <v>1147.2392638036799</v>
      </c>
      <c r="G745" s="1">
        <v>3</v>
      </c>
      <c r="H745" s="1">
        <v>1</v>
      </c>
      <c r="I745" s="1">
        <v>1</v>
      </c>
      <c r="J745" s="1">
        <v>1</v>
      </c>
      <c r="K745" s="1">
        <v>1</v>
      </c>
      <c r="M745" s="1">
        <v>815</v>
      </c>
      <c r="N745" s="1">
        <v>483</v>
      </c>
      <c r="O745" s="1">
        <v>856</v>
      </c>
      <c r="P745" s="1">
        <v>373</v>
      </c>
      <c r="Q745" s="1" t="s">
        <v>42</v>
      </c>
      <c r="S745" s="1" t="s">
        <v>42</v>
      </c>
      <c r="T745" s="1" t="s">
        <v>203</v>
      </c>
      <c r="U745" s="1">
        <v>125</v>
      </c>
      <c r="V745" s="5">
        <v>43788</v>
      </c>
      <c r="W745" s="5">
        <v>43565</v>
      </c>
      <c r="X745" s="1">
        <v>995000</v>
      </c>
      <c r="Y745" s="1">
        <v>995000</v>
      </c>
      <c r="Z745" s="5">
        <v>43690</v>
      </c>
      <c r="AA745" s="1">
        <v>935000</v>
      </c>
      <c r="AB745" s="1" t="s">
        <v>577</v>
      </c>
      <c r="AC745" s="5">
        <v>43777</v>
      </c>
      <c r="AF745" s="1">
        <v>10025</v>
      </c>
      <c r="AI745" s="1" t="s">
        <v>52</v>
      </c>
      <c r="AJ745" s="1">
        <v>2016</v>
      </c>
      <c r="AK745" s="1" t="s">
        <v>140</v>
      </c>
      <c r="AL745" s="1">
        <v>15</v>
      </c>
    </row>
    <row r="746" spans="1:38" x14ac:dyDescent="0.2">
      <c r="A746" s="2" t="str">
        <f>HYPERLINK("https://www.compass.com/listing/200-east-21st-street-unit-12a-manhattan-ny-10010/308648240181973457/","200 E 21st St, Unit 12A")</f>
        <v>200 E 21st St, Unit 12A</v>
      </c>
      <c r="B746" s="2" t="str">
        <f t="shared" ref="B746:B748" si="126">HYPERLINK("https://www.compass.com/building/200-east-21st-street-manhattan-ny/292796762689658005/","200 East 21st Street")</f>
        <v>200 East 21st Street</v>
      </c>
      <c r="C746" s="1" t="s">
        <v>101</v>
      </c>
      <c r="D746" s="1" t="s">
        <v>41</v>
      </c>
      <c r="E746" s="3">
        <v>2750255</v>
      </c>
      <c r="F746" s="1">
        <v>1924.60081175647</v>
      </c>
      <c r="G746" s="1">
        <v>4</v>
      </c>
      <c r="H746" s="1">
        <v>2</v>
      </c>
      <c r="I746" s="1">
        <v>2</v>
      </c>
      <c r="J746" s="1">
        <v>2</v>
      </c>
      <c r="K746" s="1">
        <v>2</v>
      </c>
      <c r="M746" s="4">
        <v>1429</v>
      </c>
      <c r="N746" s="1">
        <v>1422</v>
      </c>
      <c r="O746" s="1">
        <v>2523</v>
      </c>
      <c r="P746" s="1">
        <v>1101</v>
      </c>
      <c r="Q746" s="1" t="s">
        <v>42</v>
      </c>
      <c r="S746" s="1" t="s">
        <v>42</v>
      </c>
      <c r="T746" s="1" t="s">
        <v>203</v>
      </c>
      <c r="U746" s="1">
        <v>113</v>
      </c>
      <c r="V746" s="5">
        <v>43830</v>
      </c>
      <c r="W746" s="5">
        <v>43678</v>
      </c>
      <c r="X746" s="1">
        <v>2865000</v>
      </c>
      <c r="Y746" s="1">
        <v>2865000</v>
      </c>
      <c r="Z746" s="5">
        <v>43791</v>
      </c>
      <c r="AA746" s="1">
        <v>2750254.56</v>
      </c>
      <c r="AB746" s="1" t="s">
        <v>578</v>
      </c>
      <c r="AC746" s="5">
        <v>43816</v>
      </c>
      <c r="AF746" s="1">
        <v>10010</v>
      </c>
      <c r="AI746" s="1" t="s">
        <v>102</v>
      </c>
      <c r="AJ746" s="1">
        <v>2018</v>
      </c>
      <c r="AK746" s="1" t="s">
        <v>55</v>
      </c>
      <c r="AL746" s="1">
        <v>67</v>
      </c>
    </row>
    <row r="747" spans="1:38" x14ac:dyDescent="0.2">
      <c r="A747" s="2" t="str">
        <f>HYPERLINK("https://www.compass.com/listing/200-east-21st-street-unit-15a-manhattan-ny-10010/399222873022324097/","200 E 21st St, Unit 15A")</f>
        <v>200 E 21st St, Unit 15A</v>
      </c>
      <c r="B747" s="2" t="str">
        <f t="shared" si="126"/>
        <v>200 East 21st Street</v>
      </c>
      <c r="C747" s="1" t="s">
        <v>101</v>
      </c>
      <c r="D747" s="1" t="s">
        <v>41</v>
      </c>
      <c r="E747" s="3">
        <v>2984745</v>
      </c>
      <c r="F747" s="1">
        <v>2088.6951084674502</v>
      </c>
      <c r="G747" s="1">
        <v>4</v>
      </c>
      <c r="H747" s="1">
        <v>2</v>
      </c>
      <c r="I747" s="1">
        <v>2</v>
      </c>
      <c r="J747" s="1">
        <v>2</v>
      </c>
      <c r="K747" s="1">
        <v>2</v>
      </c>
      <c r="M747" s="4">
        <v>1429</v>
      </c>
      <c r="N747" s="1">
        <v>1439</v>
      </c>
      <c r="O747" s="1">
        <v>2553</v>
      </c>
      <c r="P747" s="1">
        <v>1114</v>
      </c>
      <c r="Q747" s="1" t="s">
        <v>42</v>
      </c>
      <c r="S747" s="1" t="s">
        <v>42</v>
      </c>
      <c r="T747" s="1" t="s">
        <v>203</v>
      </c>
      <c r="V747" s="5">
        <v>43837</v>
      </c>
      <c r="W747" s="5">
        <v>43802</v>
      </c>
      <c r="X747" s="1">
        <v>3050000</v>
      </c>
      <c r="Y747" s="1">
        <v>3050000</v>
      </c>
      <c r="Z747" s="5">
        <v>43803</v>
      </c>
      <c r="AA747" s="1">
        <v>2984745.31</v>
      </c>
      <c r="AB747" s="1" t="s">
        <v>579</v>
      </c>
      <c r="AC747" s="5">
        <v>43826</v>
      </c>
      <c r="AF747" s="1">
        <v>10010</v>
      </c>
      <c r="AI747" s="1" t="s">
        <v>102</v>
      </c>
      <c r="AJ747" s="1">
        <v>2018</v>
      </c>
      <c r="AK747" s="1" t="s">
        <v>55</v>
      </c>
      <c r="AL747" s="1">
        <v>67</v>
      </c>
    </row>
    <row r="748" spans="1:38" x14ac:dyDescent="0.2">
      <c r="A748" s="2" t="str">
        <f>HYPERLINK("https://www.compass.com/listing/200-east-21st-street-unit-14a-manhattan-ny-10010/452178184386441529/","200 E 21st St, Unit 14A")</f>
        <v>200 E 21st St, Unit 14A</v>
      </c>
      <c r="B748" s="2" t="str">
        <f t="shared" si="126"/>
        <v>200 East 21st Street</v>
      </c>
      <c r="C748" s="1" t="s">
        <v>101</v>
      </c>
      <c r="D748" s="1" t="s">
        <v>41</v>
      </c>
      <c r="E748" s="3">
        <v>2895000</v>
      </c>
      <c r="F748" s="1">
        <v>2025.8922323303</v>
      </c>
      <c r="G748" s="1">
        <v>4</v>
      </c>
      <c r="H748" s="1">
        <v>2</v>
      </c>
      <c r="I748" s="1">
        <v>2</v>
      </c>
      <c r="J748" s="1">
        <v>2</v>
      </c>
      <c r="K748" s="1">
        <v>2</v>
      </c>
      <c r="M748" s="4">
        <v>1429</v>
      </c>
      <c r="N748" s="1">
        <v>1428</v>
      </c>
      <c r="O748" s="1">
        <v>2533</v>
      </c>
      <c r="P748" s="1">
        <v>1105</v>
      </c>
      <c r="Q748" s="1" t="s">
        <v>42</v>
      </c>
      <c r="S748" s="1" t="s">
        <v>42</v>
      </c>
      <c r="T748" s="1" t="s">
        <v>203</v>
      </c>
      <c r="V748" s="5">
        <v>44314</v>
      </c>
      <c r="W748" s="5">
        <v>43875</v>
      </c>
      <c r="X748" s="1">
        <v>2995000</v>
      </c>
      <c r="Y748" s="1">
        <v>2995000</v>
      </c>
      <c r="Z748" s="5">
        <v>43876</v>
      </c>
      <c r="AA748" s="1">
        <v>2895000</v>
      </c>
      <c r="AB748" s="1" t="s">
        <v>580</v>
      </c>
      <c r="AC748" s="5">
        <v>43950</v>
      </c>
      <c r="AF748" s="1">
        <v>10010</v>
      </c>
      <c r="AI748" s="1" t="s">
        <v>102</v>
      </c>
      <c r="AJ748" s="1">
        <v>2018</v>
      </c>
      <c r="AK748" s="1" t="s">
        <v>55</v>
      </c>
      <c r="AL748" s="1">
        <v>67</v>
      </c>
    </row>
    <row r="749" spans="1:38" x14ac:dyDescent="0.2">
      <c r="A749" s="2" t="str">
        <f>HYPERLINK("https://www.compass.com/listing/30-park-place-unit-39k-manhattan-ny-10007/423925482072850305/","30 Park Pl, Unit 39K")</f>
        <v>30 Park Pl, Unit 39K</v>
      </c>
      <c r="B749" s="2" t="str">
        <f t="shared" ref="B749:B750" si="127">HYPERLINK("https://www.compass.com/building/30-park-pl-manhattan-ny-10007/281896912905317605/","30 Park Pl")</f>
        <v>30 Park Pl</v>
      </c>
      <c r="C749" s="1" t="s">
        <v>40</v>
      </c>
      <c r="D749" s="1" t="s">
        <v>41</v>
      </c>
      <c r="E749" s="3">
        <v>1128000</v>
      </c>
      <c r="F749" s="1">
        <v>1834.14634146341</v>
      </c>
      <c r="G749" s="1">
        <v>2</v>
      </c>
      <c r="H749" s="1" t="s">
        <v>77</v>
      </c>
      <c r="I749" s="1">
        <v>1</v>
      </c>
      <c r="J749" s="1">
        <v>1</v>
      </c>
      <c r="K749" s="1">
        <v>1</v>
      </c>
      <c r="M749" s="1">
        <v>615</v>
      </c>
      <c r="N749" s="1">
        <v>497</v>
      </c>
      <c r="O749" s="1">
        <v>1740</v>
      </c>
      <c r="P749" s="1">
        <v>1243</v>
      </c>
      <c r="Q749" s="1" t="s">
        <v>42</v>
      </c>
      <c r="S749" s="1" t="s">
        <v>42</v>
      </c>
      <c r="T749" s="1" t="s">
        <v>203</v>
      </c>
      <c r="U749" s="1">
        <v>37</v>
      </c>
      <c r="V749" s="5">
        <v>43901</v>
      </c>
      <c r="W749" s="5">
        <v>43836</v>
      </c>
      <c r="X749" s="1">
        <v>1200000</v>
      </c>
      <c r="Y749" s="1">
        <v>1200000</v>
      </c>
      <c r="Z749" s="5">
        <v>43874</v>
      </c>
      <c r="AA749" s="1">
        <v>1128000</v>
      </c>
      <c r="AB749" s="1" t="s">
        <v>581</v>
      </c>
      <c r="AC749" s="5">
        <v>43900</v>
      </c>
      <c r="AF749" s="1">
        <v>10007</v>
      </c>
      <c r="AJ749" s="1">
        <v>2016</v>
      </c>
      <c r="AK749" s="1" t="s">
        <v>81</v>
      </c>
      <c r="AL749" s="1">
        <v>157</v>
      </c>
    </row>
    <row r="750" spans="1:38" x14ac:dyDescent="0.2">
      <c r="A750" s="2" t="str">
        <f>HYPERLINK("https://www.compass.com/listing/30-park-place-unit-39l-manhattan-ny-10007/423925482417521521/","30 Park Pl, Unit 39L")</f>
        <v>30 Park Pl, Unit 39L</v>
      </c>
      <c r="B750" s="2" t="str">
        <f t="shared" si="127"/>
        <v>30 Park Pl</v>
      </c>
      <c r="C750" s="1" t="s">
        <v>40</v>
      </c>
      <c r="D750" s="1" t="s">
        <v>41</v>
      </c>
      <c r="E750" s="3">
        <v>1150000</v>
      </c>
      <c r="F750" s="1">
        <v>2137.5464684014801</v>
      </c>
      <c r="G750" s="1">
        <v>2</v>
      </c>
      <c r="H750" s="1" t="s">
        <v>77</v>
      </c>
      <c r="I750" s="1">
        <v>1</v>
      </c>
      <c r="J750" s="1">
        <v>1</v>
      </c>
      <c r="K750" s="1">
        <v>1</v>
      </c>
      <c r="M750" s="1">
        <v>538</v>
      </c>
      <c r="N750" s="1">
        <v>443</v>
      </c>
      <c r="O750" s="1">
        <v>1551</v>
      </c>
      <c r="P750" s="1">
        <v>1108</v>
      </c>
      <c r="Q750" s="1" t="s">
        <v>42</v>
      </c>
      <c r="S750" s="1" t="s">
        <v>42</v>
      </c>
      <c r="T750" s="1" t="s">
        <v>203</v>
      </c>
      <c r="U750" s="1">
        <v>28</v>
      </c>
      <c r="V750" s="5">
        <v>43939</v>
      </c>
      <c r="W750" s="5">
        <v>43836</v>
      </c>
      <c r="X750" s="1">
        <v>1200000</v>
      </c>
      <c r="Y750" s="1">
        <v>1200000</v>
      </c>
      <c r="Z750" s="5">
        <v>43865</v>
      </c>
      <c r="AA750" s="1">
        <v>1150000</v>
      </c>
      <c r="AB750" s="1" t="s">
        <v>582</v>
      </c>
      <c r="AC750" s="5">
        <v>43938</v>
      </c>
      <c r="AF750" s="1">
        <v>10007</v>
      </c>
      <c r="AJ750" s="1">
        <v>2016</v>
      </c>
      <c r="AK750" s="1" t="s">
        <v>81</v>
      </c>
      <c r="AL750" s="1">
        <v>157</v>
      </c>
    </row>
    <row r="751" spans="1:38" x14ac:dyDescent="0.2">
      <c r="A751" s="2" t="str">
        <f>HYPERLINK("https://www.compass.com/listing/421-west-22nd-street-unit-3f-manhattan-ny-10011/29370277813115377/","421 W 22nd St, Unit 3F")</f>
        <v>421 W 22nd St, Unit 3F</v>
      </c>
      <c r="B751" s="2" t="str">
        <f>HYPERLINK("https://www.compass.com/building/421-w-22nd-st-manhattan-ny-10011/281910201349594997/","421 W 22nd St")</f>
        <v>421 W 22nd St</v>
      </c>
      <c r="C751" s="1" t="s">
        <v>62</v>
      </c>
      <c r="D751" s="1" t="s">
        <v>41</v>
      </c>
      <c r="E751" s="3">
        <v>641498</v>
      </c>
      <c r="F751" s="1">
        <v>1364.8893617021199</v>
      </c>
      <c r="G751" s="1">
        <v>2</v>
      </c>
      <c r="H751" s="1" t="s">
        <v>77</v>
      </c>
      <c r="I751" s="1">
        <v>1</v>
      </c>
      <c r="J751" s="1">
        <v>1</v>
      </c>
      <c r="K751" s="1">
        <v>1</v>
      </c>
      <c r="M751" s="1">
        <v>470</v>
      </c>
      <c r="N751" s="1">
        <v>317</v>
      </c>
      <c r="O751" s="1">
        <v>846</v>
      </c>
      <c r="P751" s="1">
        <v>529</v>
      </c>
      <c r="Q751" s="1" t="s">
        <v>42</v>
      </c>
      <c r="S751" s="1" t="s">
        <v>42</v>
      </c>
      <c r="T751" s="1" t="s">
        <v>203</v>
      </c>
      <c r="U751" s="1">
        <v>34</v>
      </c>
      <c r="V751" s="5">
        <v>43664</v>
      </c>
      <c r="W751" s="5">
        <v>41790</v>
      </c>
      <c r="X751" s="1">
        <v>630000</v>
      </c>
      <c r="Y751" s="1">
        <v>630000</v>
      </c>
      <c r="Z751" s="5">
        <v>41824</v>
      </c>
      <c r="AA751" s="1">
        <v>641498</v>
      </c>
      <c r="AB751" s="1" t="s">
        <v>583</v>
      </c>
      <c r="AC751" s="5">
        <v>42039</v>
      </c>
      <c r="AF751" s="1">
        <v>10011</v>
      </c>
      <c r="AI751" s="1" t="s">
        <v>73</v>
      </c>
      <c r="AJ751" s="1">
        <v>1900</v>
      </c>
      <c r="AL751" s="1">
        <v>8</v>
      </c>
    </row>
    <row r="752" spans="1:38" x14ac:dyDescent="0.2">
      <c r="A752" s="2" t="str">
        <f>HYPERLINK("https://www.compass.com/listing/200-east-21st-street-unit-10d-manhattan-ny-10010/683388399541222401/","200 E 21st St, Unit 10D")</f>
        <v>200 E 21st St, Unit 10D</v>
      </c>
      <c r="B752" s="2" t="str">
        <f t="shared" ref="B752:B756" si="128">HYPERLINK("https://www.compass.com/building/200-east-21st-street-manhattan-ny/292796762689658005/","200 East 21st Street")</f>
        <v>200 East 21st Street</v>
      </c>
      <c r="C752" s="1" t="s">
        <v>101</v>
      </c>
      <c r="D752" s="1" t="s">
        <v>41</v>
      </c>
      <c r="E752" s="3">
        <v>2498022</v>
      </c>
      <c r="F752" s="1">
        <v>1706.29905054644</v>
      </c>
      <c r="G752" s="1">
        <v>4</v>
      </c>
      <c r="H752" s="1">
        <v>2</v>
      </c>
      <c r="I752" s="1">
        <v>3</v>
      </c>
      <c r="J752" s="1">
        <v>2.5</v>
      </c>
      <c r="K752" s="1">
        <v>2</v>
      </c>
      <c r="L752" s="1">
        <v>1</v>
      </c>
      <c r="M752" s="4">
        <v>1464</v>
      </c>
      <c r="N752" s="1">
        <v>1445</v>
      </c>
      <c r="O752" s="1">
        <v>3207</v>
      </c>
      <c r="P752" s="1">
        <v>1762</v>
      </c>
      <c r="Q752" s="1" t="s">
        <v>42</v>
      </c>
      <c r="S752" s="1" t="s">
        <v>42</v>
      </c>
      <c r="T752" s="1" t="s">
        <v>203</v>
      </c>
      <c r="U752" s="1">
        <v>1</v>
      </c>
      <c r="V752" s="5">
        <v>44267</v>
      </c>
      <c r="W752" s="5">
        <v>44194</v>
      </c>
      <c r="X752" s="1">
        <v>2825000</v>
      </c>
      <c r="Y752" s="1">
        <v>2825000</v>
      </c>
      <c r="AA752" s="1">
        <v>2498021.81</v>
      </c>
      <c r="AB752" s="1" t="s">
        <v>584</v>
      </c>
      <c r="AC752" s="5">
        <v>44195</v>
      </c>
      <c r="AF752" s="1">
        <v>10010</v>
      </c>
      <c r="AI752" s="1" t="s">
        <v>102</v>
      </c>
      <c r="AJ752" s="1">
        <v>2018</v>
      </c>
      <c r="AK752" s="1" t="s">
        <v>55</v>
      </c>
      <c r="AL752" s="1">
        <v>67</v>
      </c>
    </row>
    <row r="753" spans="1:38" x14ac:dyDescent="0.2">
      <c r="A753" s="2" t="str">
        <f>HYPERLINK("https://www.compass.com/listing/200-east-21st-street-unit-5c-manhattan-ny-10010/100621182075673201/","200 E 21st St, Unit 5C")</f>
        <v>200 E 21st St, Unit 5C</v>
      </c>
      <c r="B753" s="2" t="str">
        <f t="shared" si="128"/>
        <v>200 East 21st Street</v>
      </c>
      <c r="C753" s="1" t="s">
        <v>101</v>
      </c>
      <c r="D753" s="1" t="s">
        <v>41</v>
      </c>
      <c r="E753" s="3">
        <v>2850000</v>
      </c>
      <c r="F753" s="1">
        <v>1863.96337475474</v>
      </c>
      <c r="G753" s="1">
        <v>4</v>
      </c>
      <c r="H753" s="1">
        <v>2</v>
      </c>
      <c r="I753" s="1">
        <v>3</v>
      </c>
      <c r="J753" s="1">
        <v>2.5</v>
      </c>
      <c r="K753" s="1">
        <v>2</v>
      </c>
      <c r="L753" s="1">
        <v>1</v>
      </c>
      <c r="M753" s="4">
        <v>1529</v>
      </c>
      <c r="N753" s="1">
        <v>1496</v>
      </c>
      <c r="O753" s="1">
        <v>4297</v>
      </c>
      <c r="P753" s="1">
        <v>2801</v>
      </c>
      <c r="Q753" s="1" t="s">
        <v>42</v>
      </c>
      <c r="S753" s="1" t="s">
        <v>42</v>
      </c>
      <c r="T753" s="1" t="s">
        <v>203</v>
      </c>
      <c r="U753" s="1">
        <v>1</v>
      </c>
      <c r="V753" s="5">
        <v>43721</v>
      </c>
      <c r="W753" s="5">
        <v>43391</v>
      </c>
      <c r="X753" s="1">
        <v>2950000</v>
      </c>
      <c r="Y753" s="1">
        <v>2950000</v>
      </c>
      <c r="Z753" s="5">
        <v>43392</v>
      </c>
      <c r="AA753" s="1">
        <v>2850000</v>
      </c>
      <c r="AB753" s="1" t="s">
        <v>585</v>
      </c>
      <c r="AC753" s="5">
        <v>43654</v>
      </c>
      <c r="AF753" s="1">
        <v>10010</v>
      </c>
      <c r="AI753" s="1" t="s">
        <v>102</v>
      </c>
      <c r="AJ753" s="1">
        <v>2018</v>
      </c>
      <c r="AK753" s="1" t="s">
        <v>55</v>
      </c>
      <c r="AL753" s="1">
        <v>67</v>
      </c>
    </row>
    <row r="754" spans="1:38" x14ac:dyDescent="0.2">
      <c r="A754" s="2" t="str">
        <f>HYPERLINK("https://www.compass.com/listing/200-east-21st-street-unit-8d-manhattan-ny-10010/116386003299725057/","200 E 21st St, Unit 8D")</f>
        <v>200 E 21st St, Unit 8D</v>
      </c>
      <c r="B754" s="2" t="str">
        <f t="shared" si="128"/>
        <v>200 East 21st Street</v>
      </c>
      <c r="C754" s="1" t="s">
        <v>101</v>
      </c>
      <c r="D754" s="1" t="s">
        <v>41</v>
      </c>
      <c r="E754" s="3">
        <v>2775348</v>
      </c>
      <c r="F754" s="1">
        <v>1895.7297199453501</v>
      </c>
      <c r="G754" s="1">
        <v>4</v>
      </c>
      <c r="H754" s="1">
        <v>2</v>
      </c>
      <c r="I754" s="1">
        <v>3</v>
      </c>
      <c r="J754" s="1">
        <v>2.5</v>
      </c>
      <c r="K754" s="1">
        <v>2</v>
      </c>
      <c r="L754" s="1">
        <v>1</v>
      </c>
      <c r="M754" s="4">
        <v>1464</v>
      </c>
      <c r="N754" s="1">
        <v>1434</v>
      </c>
      <c r="O754" s="1">
        <v>2544</v>
      </c>
      <c r="P754" s="1">
        <v>1110</v>
      </c>
      <c r="Q754" s="1" t="s">
        <v>42</v>
      </c>
      <c r="S754" s="1" t="s">
        <v>42</v>
      </c>
      <c r="T754" s="1" t="s">
        <v>203</v>
      </c>
      <c r="U754" s="1">
        <v>482</v>
      </c>
      <c r="V754" s="5">
        <v>43766</v>
      </c>
      <c r="W754" s="5">
        <v>43201</v>
      </c>
      <c r="X754" s="1">
        <v>2995000</v>
      </c>
      <c r="Y754" s="1">
        <v>2995000</v>
      </c>
      <c r="Z754" s="5">
        <v>43683</v>
      </c>
      <c r="AA754" s="1">
        <v>2775348.31</v>
      </c>
      <c r="AB754" s="1" t="s">
        <v>586</v>
      </c>
      <c r="AC754" s="5">
        <v>43720</v>
      </c>
      <c r="AF754" s="1">
        <v>10010</v>
      </c>
      <c r="AI754" s="1" t="s">
        <v>102</v>
      </c>
      <c r="AJ754" s="1">
        <v>2018</v>
      </c>
      <c r="AK754" s="1" t="s">
        <v>55</v>
      </c>
      <c r="AL754" s="1">
        <v>67</v>
      </c>
    </row>
    <row r="755" spans="1:38" x14ac:dyDescent="0.2">
      <c r="A755" s="2" t="str">
        <f>HYPERLINK("https://www.compass.com/listing/200-east-21st-street-unit-3c-manhattan-ny-10010/75133566660414849/","200 E 21st St, Unit 3C")</f>
        <v>200 E 21st St, Unit 3C</v>
      </c>
      <c r="B755" s="2" t="str">
        <f t="shared" si="128"/>
        <v>200 East 21st Street</v>
      </c>
      <c r="C755" s="1" t="s">
        <v>101</v>
      </c>
      <c r="D755" s="1" t="s">
        <v>41</v>
      </c>
      <c r="E755" s="3">
        <v>2770000</v>
      </c>
      <c r="F755" s="1">
        <v>1811.64159581425</v>
      </c>
      <c r="G755" s="1">
        <v>4</v>
      </c>
      <c r="H755" s="1">
        <v>2</v>
      </c>
      <c r="I755" s="1">
        <v>3</v>
      </c>
      <c r="J755" s="1">
        <v>2.5</v>
      </c>
      <c r="K755" s="1">
        <v>2</v>
      </c>
      <c r="L755" s="1">
        <v>1</v>
      </c>
      <c r="M755" s="4">
        <v>1529</v>
      </c>
      <c r="N755" s="1">
        <v>1485</v>
      </c>
      <c r="O755" s="1">
        <v>4265</v>
      </c>
      <c r="P755" s="1">
        <v>2780</v>
      </c>
      <c r="Q755" s="1" t="s">
        <v>42</v>
      </c>
      <c r="S755" s="1" t="s">
        <v>42</v>
      </c>
      <c r="T755" s="1" t="s">
        <v>203</v>
      </c>
      <c r="U755" s="1">
        <v>148</v>
      </c>
      <c r="V755" s="5">
        <v>43694</v>
      </c>
      <c r="W755" s="5">
        <v>43356</v>
      </c>
      <c r="X755" s="1">
        <v>2850000</v>
      </c>
      <c r="Y755" s="1">
        <v>2850000</v>
      </c>
      <c r="Z755" s="5">
        <v>43504</v>
      </c>
      <c r="AA755" s="1">
        <v>2770000</v>
      </c>
      <c r="AB755" s="1" t="s">
        <v>587</v>
      </c>
      <c r="AC755" s="5">
        <v>43622</v>
      </c>
      <c r="AF755" s="1">
        <v>10010</v>
      </c>
      <c r="AI755" s="1" t="s">
        <v>102</v>
      </c>
      <c r="AJ755" s="1">
        <v>2018</v>
      </c>
      <c r="AK755" s="1" t="s">
        <v>55</v>
      </c>
      <c r="AL755" s="1">
        <v>67</v>
      </c>
    </row>
    <row r="756" spans="1:38" x14ac:dyDescent="0.2">
      <c r="A756" s="2" t="str">
        <f>HYPERLINK("https://www.compass.com/listing/200-east-21st-street-unit-4c-manhattan-ny-10010/96242685190373329/","200 E 21st St, Unit 4C")</f>
        <v>200 E 21st St, Unit 4C</v>
      </c>
      <c r="B756" s="2" t="str">
        <f t="shared" si="128"/>
        <v>200 East 21st Street</v>
      </c>
      <c r="C756" s="1" t="s">
        <v>101</v>
      </c>
      <c r="D756" s="1" t="s">
        <v>41</v>
      </c>
      <c r="E756" s="3">
        <v>2920000</v>
      </c>
      <c r="F756" s="1">
        <v>1909.74493132766</v>
      </c>
      <c r="G756" s="1">
        <v>4</v>
      </c>
      <c r="H756" s="1">
        <v>2</v>
      </c>
      <c r="I756" s="1">
        <v>3</v>
      </c>
      <c r="J756" s="1">
        <v>2.5</v>
      </c>
      <c r="K756" s="1">
        <v>2</v>
      </c>
      <c r="L756" s="1">
        <v>1</v>
      </c>
      <c r="M756" s="4">
        <v>1529</v>
      </c>
      <c r="N756" s="1">
        <v>1490</v>
      </c>
      <c r="O756" s="1">
        <v>4280</v>
      </c>
      <c r="P756" s="1">
        <v>2790</v>
      </c>
      <c r="Q756" s="1" t="s">
        <v>42</v>
      </c>
      <c r="S756" s="1" t="s">
        <v>42</v>
      </c>
      <c r="T756" s="1" t="s">
        <v>203</v>
      </c>
      <c r="U756" s="1">
        <v>215</v>
      </c>
      <c r="V756" s="5">
        <v>43694</v>
      </c>
      <c r="W756" s="5">
        <v>43140</v>
      </c>
      <c r="X756" s="1">
        <v>3125000</v>
      </c>
      <c r="Y756" s="1">
        <v>2895000</v>
      </c>
      <c r="Z756" s="5">
        <v>43355</v>
      </c>
      <c r="AA756" s="1">
        <v>2920000</v>
      </c>
      <c r="AB756" s="1" t="s">
        <v>588</v>
      </c>
      <c r="AC756" s="5">
        <v>43623</v>
      </c>
      <c r="AF756" s="1">
        <v>10010</v>
      </c>
      <c r="AI756" s="1" t="s">
        <v>102</v>
      </c>
      <c r="AJ756" s="1">
        <v>2018</v>
      </c>
      <c r="AK756" s="1" t="s">
        <v>55</v>
      </c>
      <c r="AL756" s="1">
        <v>67</v>
      </c>
    </row>
    <row r="757" spans="1:38" x14ac:dyDescent="0.2">
      <c r="A757" s="2" t="str">
        <f>HYPERLINK("https://www.compass.com/listing/101-west-78th-street-unit-8c-manhattan-ny-10024/803374946461853945/","101 W 78th St, Unit 8C")</f>
        <v>101 W 78th St, Unit 8C</v>
      </c>
      <c r="B757" s="2" t="str">
        <f>HYPERLINK("https://www.compass.com/building/101-w-78th-st-manhattan-ny-10024/281961405798754085/","101 W 78th St")</f>
        <v>101 W 78th St</v>
      </c>
      <c r="C757" s="1" t="s">
        <v>47</v>
      </c>
      <c r="D757" s="1" t="s">
        <v>41</v>
      </c>
      <c r="E757" s="3">
        <v>1627359</v>
      </c>
      <c r="F757" s="1">
        <v>2193.2058625336899</v>
      </c>
      <c r="G757" s="1">
        <v>2</v>
      </c>
      <c r="H757" s="1">
        <v>1</v>
      </c>
      <c r="I757" s="1">
        <v>1</v>
      </c>
      <c r="J757" s="1">
        <v>1</v>
      </c>
      <c r="M757" s="1">
        <v>742</v>
      </c>
      <c r="N757" s="1">
        <v>1071</v>
      </c>
      <c r="O757" s="1">
        <v>1762</v>
      </c>
      <c r="P757" s="1">
        <v>691</v>
      </c>
      <c r="Q757" s="1" t="s">
        <v>42</v>
      </c>
      <c r="S757" s="1" t="s">
        <v>42</v>
      </c>
      <c r="T757" s="1" t="s">
        <v>203</v>
      </c>
      <c r="V757" s="5">
        <v>43208</v>
      </c>
      <c r="AA757" s="1">
        <v>1627358.75</v>
      </c>
      <c r="AB757" s="1" t="s">
        <v>536</v>
      </c>
      <c r="AC757" s="5">
        <v>43131</v>
      </c>
      <c r="AF757" s="1">
        <v>10024</v>
      </c>
      <c r="AJ757" s="1">
        <v>1886</v>
      </c>
      <c r="AK757" s="1" t="s">
        <v>428</v>
      </c>
      <c r="AL757" s="1">
        <v>21</v>
      </c>
    </row>
    <row r="758" spans="1:38" x14ac:dyDescent="0.2">
      <c r="A758" s="2" t="str">
        <f>HYPERLINK("https://www.compass.com/listing/200-east-21st-street-unit-3e-manhattan-ny-10010/100621183015194449/","200 E 21st St, Unit 3E")</f>
        <v>200 E 21st St, Unit 3E</v>
      </c>
      <c r="B758" s="2" t="str">
        <f>HYPERLINK("https://www.compass.com/building/200-east-21st-street-manhattan-ny/292796762689658005/","200 East 21st Street")</f>
        <v>200 East 21st Street</v>
      </c>
      <c r="C758" s="1" t="s">
        <v>101</v>
      </c>
      <c r="D758" s="1" t="s">
        <v>41</v>
      </c>
      <c r="E758" s="3">
        <v>2107778</v>
      </c>
      <c r="F758" s="1">
        <v>2046.3859223300899</v>
      </c>
      <c r="G758" s="1">
        <v>3</v>
      </c>
      <c r="H758" s="1">
        <v>1</v>
      </c>
      <c r="I758" s="1">
        <v>2</v>
      </c>
      <c r="J758" s="1">
        <v>1.5</v>
      </c>
      <c r="K758" s="1">
        <v>1</v>
      </c>
      <c r="L758" s="1">
        <v>1</v>
      </c>
      <c r="M758" s="4">
        <v>1030</v>
      </c>
      <c r="N758" s="1">
        <v>1003</v>
      </c>
      <c r="O758" s="1">
        <v>2882</v>
      </c>
      <c r="P758" s="1">
        <v>1879</v>
      </c>
      <c r="Q758" s="1" t="s">
        <v>42</v>
      </c>
      <c r="S758" s="1" t="s">
        <v>42</v>
      </c>
      <c r="T758" s="1" t="s">
        <v>203</v>
      </c>
      <c r="U758" s="1">
        <v>8</v>
      </c>
      <c r="V758" s="5">
        <v>43721</v>
      </c>
      <c r="W758" s="5">
        <v>43384</v>
      </c>
      <c r="X758" s="1">
        <v>2070000</v>
      </c>
      <c r="Y758" s="1">
        <v>2070000</v>
      </c>
      <c r="Z758" s="5">
        <v>43392</v>
      </c>
      <c r="AA758" s="1">
        <v>2107777.5</v>
      </c>
      <c r="AB758" s="1" t="s">
        <v>589</v>
      </c>
      <c r="AC758" s="5">
        <v>43648</v>
      </c>
      <c r="AF758" s="1">
        <v>10010</v>
      </c>
      <c r="AI758" s="1" t="s">
        <v>102</v>
      </c>
      <c r="AJ758" s="1">
        <v>2018</v>
      </c>
      <c r="AK758" s="1" t="s">
        <v>55</v>
      </c>
      <c r="AL758" s="1">
        <v>67</v>
      </c>
    </row>
    <row r="759" spans="1:38" x14ac:dyDescent="0.2">
      <c r="A759" s="2" t="str">
        <f>HYPERLINK("https://www.compass.com/listing/275-west-10th-street-unit-7d-manhattan-ny-10014/29368595637137745/","275 W 10th St, Unit 7D")</f>
        <v>275 W 10th St, Unit 7D</v>
      </c>
      <c r="B759" s="2" t="str">
        <f>HYPERLINK("https://www.compass.com/building/the-shephard-manhattan-ny/281931968864632917/","The Shephard")</f>
        <v>The Shephard</v>
      </c>
      <c r="C759" s="1" t="s">
        <v>68</v>
      </c>
      <c r="D759" s="1" t="s">
        <v>41</v>
      </c>
      <c r="E759" s="3">
        <v>4963969</v>
      </c>
      <c r="F759" s="1">
        <v>2768.5270496374701</v>
      </c>
      <c r="G759" s="1">
        <v>4</v>
      </c>
      <c r="H759" s="1">
        <v>2</v>
      </c>
      <c r="I759" s="1">
        <v>2</v>
      </c>
      <c r="J759" s="1">
        <v>2</v>
      </c>
      <c r="M759" s="4">
        <v>1793</v>
      </c>
      <c r="N759" s="1">
        <v>1653</v>
      </c>
      <c r="O759" s="1">
        <v>3817</v>
      </c>
      <c r="P759" s="1">
        <v>2164</v>
      </c>
      <c r="Q759" s="1" t="s">
        <v>42</v>
      </c>
      <c r="S759" s="1" t="s">
        <v>42</v>
      </c>
      <c r="T759" s="1" t="s">
        <v>203</v>
      </c>
      <c r="U759" s="1">
        <v>56</v>
      </c>
      <c r="V759" s="5">
        <v>43671</v>
      </c>
      <c r="W759" s="5">
        <v>42273</v>
      </c>
      <c r="X759" s="1">
        <v>4875000</v>
      </c>
      <c r="Y759" s="1">
        <v>4875000</v>
      </c>
      <c r="Z759" s="5">
        <v>42329</v>
      </c>
      <c r="AA759" s="1">
        <v>4963969</v>
      </c>
      <c r="AB759" s="1" t="s">
        <v>590</v>
      </c>
      <c r="AC759" s="5">
        <v>42802</v>
      </c>
      <c r="AF759" s="1">
        <v>10014</v>
      </c>
      <c r="AI759" s="1" t="s">
        <v>67</v>
      </c>
      <c r="AJ759" s="1">
        <v>2015</v>
      </c>
      <c r="AK759" s="1" t="s">
        <v>55</v>
      </c>
      <c r="AL759" s="1">
        <v>38</v>
      </c>
    </row>
    <row r="760" spans="1:38" x14ac:dyDescent="0.2">
      <c r="A760" s="2" t="str">
        <f>HYPERLINK("https://www.compass.com/listing/200-east-21st-street-unit-5a-manhattan-ny-10010/100621182629411809/","200 E 21st St, Unit 5A")</f>
        <v>200 E 21st St, Unit 5A</v>
      </c>
      <c r="B760" s="2" t="str">
        <f t="shared" ref="B760:B761" si="129">HYPERLINK("https://www.compass.com/building/200-east-21st-street-manhattan-ny/292796762689658005/","200 East 21st Street")</f>
        <v>200 East 21st Street</v>
      </c>
      <c r="C760" s="1" t="s">
        <v>101</v>
      </c>
      <c r="D760" s="1" t="s">
        <v>41</v>
      </c>
      <c r="E760" s="3">
        <v>2495000</v>
      </c>
      <c r="F760" s="1">
        <v>1769.5035460992899</v>
      </c>
      <c r="G760" s="1">
        <v>4</v>
      </c>
      <c r="H760" s="1">
        <v>2</v>
      </c>
      <c r="I760" s="1">
        <v>2</v>
      </c>
      <c r="J760" s="1">
        <v>2</v>
      </c>
      <c r="K760" s="1">
        <v>2</v>
      </c>
      <c r="M760" s="4">
        <v>1410</v>
      </c>
      <c r="N760" s="1">
        <v>1374</v>
      </c>
      <c r="O760" s="1">
        <v>3946</v>
      </c>
      <c r="P760" s="1">
        <v>2572</v>
      </c>
      <c r="Q760" s="1" t="s">
        <v>42</v>
      </c>
      <c r="S760" s="1" t="s">
        <v>42</v>
      </c>
      <c r="T760" s="1" t="s">
        <v>203</v>
      </c>
      <c r="U760" s="1">
        <v>8</v>
      </c>
      <c r="V760" s="5">
        <v>43635</v>
      </c>
      <c r="W760" s="5">
        <v>43384</v>
      </c>
      <c r="X760" s="1">
        <v>2495000</v>
      </c>
      <c r="Y760" s="1">
        <v>2495000</v>
      </c>
      <c r="Z760" s="5">
        <v>43392</v>
      </c>
      <c r="AA760" s="1">
        <v>2495000</v>
      </c>
      <c r="AB760" s="1" t="s">
        <v>591</v>
      </c>
      <c r="AC760" s="5">
        <v>43594</v>
      </c>
      <c r="AF760" s="1">
        <v>10010</v>
      </c>
      <c r="AI760" s="1" t="s">
        <v>102</v>
      </c>
      <c r="AJ760" s="1">
        <v>2018</v>
      </c>
      <c r="AK760" s="1" t="s">
        <v>55</v>
      </c>
      <c r="AL760" s="1">
        <v>67</v>
      </c>
    </row>
    <row r="761" spans="1:38" x14ac:dyDescent="0.2">
      <c r="A761" s="2" t="str">
        <f>HYPERLINK("https://www.compass.com/listing/200-east-21st-street-unit-9a-manhattan-ny-10010/365097764773381489/","200 E 21st St, Unit 9A")</f>
        <v>200 E 21st St, Unit 9A</v>
      </c>
      <c r="B761" s="2" t="str">
        <f t="shared" si="129"/>
        <v>200 East 21st Street</v>
      </c>
      <c r="C761" s="1" t="s">
        <v>101</v>
      </c>
      <c r="D761" s="1" t="s">
        <v>41</v>
      </c>
      <c r="E761" s="3">
        <v>2700250</v>
      </c>
      <c r="F761" s="1">
        <v>1889.60811756473</v>
      </c>
      <c r="G761" s="1">
        <v>4</v>
      </c>
      <c r="H761" s="1">
        <v>2</v>
      </c>
      <c r="I761" s="1">
        <v>2</v>
      </c>
      <c r="J761" s="1">
        <v>2</v>
      </c>
      <c r="K761" s="1">
        <v>2</v>
      </c>
      <c r="M761" s="4">
        <v>1429</v>
      </c>
      <c r="N761" s="1">
        <v>1406</v>
      </c>
      <c r="O761" s="1">
        <v>2494</v>
      </c>
      <c r="P761" s="1">
        <v>1088</v>
      </c>
      <c r="Q761" s="1" t="s">
        <v>42</v>
      </c>
      <c r="S761" s="1" t="s">
        <v>42</v>
      </c>
      <c r="T761" s="1" t="s">
        <v>203</v>
      </c>
      <c r="V761" s="5">
        <v>43823</v>
      </c>
      <c r="W761" s="5">
        <v>43756</v>
      </c>
      <c r="X761" s="1">
        <v>2745000</v>
      </c>
      <c r="Y761" s="1">
        <v>2745000</v>
      </c>
      <c r="Z761" s="5">
        <v>43756</v>
      </c>
      <c r="AA761" s="1">
        <v>2700250</v>
      </c>
      <c r="AB761" s="1" t="s">
        <v>592</v>
      </c>
      <c r="AC761" s="5">
        <v>43811</v>
      </c>
      <c r="AF761" s="1">
        <v>10010</v>
      </c>
      <c r="AI761" s="1" t="s">
        <v>102</v>
      </c>
      <c r="AJ761" s="1">
        <v>2018</v>
      </c>
      <c r="AK761" s="1" t="s">
        <v>55</v>
      </c>
      <c r="AL761" s="1">
        <v>67</v>
      </c>
    </row>
    <row r="762" spans="1:38" x14ac:dyDescent="0.2">
      <c r="A762" s="2" t="str">
        <f>HYPERLINK("https://www.compass.com/listing/150-east-23rd-street-unit-8b-manhattan-ny-10010/122395326983234465/","150 E 23rd St, Unit 8B")</f>
        <v>150 E 23rd St, Unit 8B</v>
      </c>
      <c r="B762" s="2" t="str">
        <f t="shared" ref="B762:B766" si="130">HYPERLINK("https://www.compass.com/building/celeste-gramercy-manhattan-ny/292795972759607813/","Celeste Gramercy")</f>
        <v>Celeste Gramercy</v>
      </c>
      <c r="C762" s="1" t="s">
        <v>101</v>
      </c>
      <c r="D762" s="1" t="s">
        <v>41</v>
      </c>
      <c r="E762" s="3">
        <v>1760554</v>
      </c>
      <c r="F762" s="1">
        <v>1938.9363986784099</v>
      </c>
      <c r="G762" s="1">
        <v>4</v>
      </c>
      <c r="H762" s="1">
        <v>2</v>
      </c>
      <c r="I762" s="1">
        <v>2</v>
      </c>
      <c r="J762" s="1">
        <v>2</v>
      </c>
      <c r="K762" s="1">
        <v>2</v>
      </c>
      <c r="M762" s="1">
        <v>908</v>
      </c>
      <c r="N762" s="1">
        <v>1271</v>
      </c>
      <c r="O762" s="1">
        <v>2193</v>
      </c>
      <c r="P762" s="1">
        <v>922</v>
      </c>
      <c r="Q762" s="1" t="s">
        <v>42</v>
      </c>
      <c r="S762" s="1" t="s">
        <v>42</v>
      </c>
      <c r="T762" s="1" t="s">
        <v>203</v>
      </c>
      <c r="V762" s="5">
        <v>44329</v>
      </c>
      <c r="W762" s="5">
        <v>43420</v>
      </c>
      <c r="X762" s="1">
        <v>1845000</v>
      </c>
      <c r="Y762" s="1">
        <v>1845000</v>
      </c>
      <c r="Z762" s="5">
        <v>43420</v>
      </c>
      <c r="AA762" s="1">
        <v>1760554.25</v>
      </c>
      <c r="AB762" s="1" t="s">
        <v>593</v>
      </c>
      <c r="AC762" s="5">
        <v>44328</v>
      </c>
      <c r="AF762" s="1">
        <v>10010</v>
      </c>
      <c r="AI762" s="1" t="s">
        <v>45</v>
      </c>
      <c r="AJ762" s="1">
        <v>2018</v>
      </c>
      <c r="AK762" s="1" t="s">
        <v>81</v>
      </c>
      <c r="AL762" s="1">
        <v>51</v>
      </c>
    </row>
    <row r="763" spans="1:38" x14ac:dyDescent="0.2">
      <c r="A763" s="2" t="str">
        <f>HYPERLINK("https://www.compass.com/listing/150-east-23rd-street-unit-6b-manhattan-ny-10010/191355018069232913/","150 E 23rd St, Unit 6B")</f>
        <v>150 E 23rd St, Unit 6B</v>
      </c>
      <c r="B763" s="2" t="str">
        <f t="shared" si="130"/>
        <v>Celeste Gramercy</v>
      </c>
      <c r="C763" s="1" t="s">
        <v>101</v>
      </c>
      <c r="D763" s="1" t="s">
        <v>41</v>
      </c>
      <c r="E763" s="3">
        <v>1895000</v>
      </c>
      <c r="F763" s="1">
        <v>2057.54614549402</v>
      </c>
      <c r="G763" s="1">
        <v>4</v>
      </c>
      <c r="H763" s="1">
        <v>2</v>
      </c>
      <c r="I763" s="1">
        <v>2</v>
      </c>
      <c r="J763" s="1">
        <v>2</v>
      </c>
      <c r="K763" s="1">
        <v>2</v>
      </c>
      <c r="M763" s="1">
        <v>921</v>
      </c>
      <c r="N763" s="1">
        <v>1269</v>
      </c>
      <c r="O763" s="1">
        <v>2458</v>
      </c>
      <c r="P763" s="1">
        <v>1189</v>
      </c>
      <c r="Q763" s="1" t="s">
        <v>42</v>
      </c>
      <c r="S763" s="1" t="s">
        <v>42</v>
      </c>
      <c r="T763" s="1" t="s">
        <v>203</v>
      </c>
      <c r="U763" s="1">
        <v>148</v>
      </c>
      <c r="V763" s="5">
        <v>44414</v>
      </c>
      <c r="W763" s="5">
        <v>44019</v>
      </c>
      <c r="X763" s="1">
        <v>1895000</v>
      </c>
      <c r="Y763" s="1">
        <v>1895000</v>
      </c>
      <c r="Z763" s="5">
        <v>44168</v>
      </c>
      <c r="AA763" s="1">
        <v>1895000</v>
      </c>
      <c r="AB763" s="1" t="s">
        <v>204</v>
      </c>
      <c r="AC763" s="5">
        <v>44413</v>
      </c>
      <c r="AF763" s="1">
        <v>10010</v>
      </c>
      <c r="AI763" s="1" t="s">
        <v>45</v>
      </c>
      <c r="AJ763" s="1">
        <v>2018</v>
      </c>
      <c r="AK763" s="1" t="s">
        <v>50</v>
      </c>
      <c r="AL763" s="1">
        <v>51</v>
      </c>
    </row>
    <row r="764" spans="1:38" x14ac:dyDescent="0.2">
      <c r="A764" s="2" t="str">
        <f>HYPERLINK("https://www.compass.com/listing/150-east-23rd-street-unit-7b-manhattan-ny-10010/239022097970516513/","150 E 23rd St, Unit 7B")</f>
        <v>150 E 23rd St, Unit 7B</v>
      </c>
      <c r="B764" s="2" t="str">
        <f t="shared" si="130"/>
        <v>Celeste Gramercy</v>
      </c>
      <c r="C764" s="1" t="s">
        <v>101</v>
      </c>
      <c r="D764" s="1" t="s">
        <v>41</v>
      </c>
      <c r="E764" s="3">
        <v>1750000</v>
      </c>
      <c r="F764" s="1">
        <v>1910.4803493449699</v>
      </c>
      <c r="G764" s="1">
        <v>4</v>
      </c>
      <c r="H764" s="1">
        <v>2</v>
      </c>
      <c r="I764" s="1">
        <v>2</v>
      </c>
      <c r="J764" s="1">
        <v>2</v>
      </c>
      <c r="K764" s="1">
        <v>2</v>
      </c>
      <c r="M764" s="1">
        <v>916</v>
      </c>
      <c r="N764" s="1">
        <v>1273</v>
      </c>
      <c r="O764" s="1">
        <v>2196</v>
      </c>
      <c r="P764" s="1">
        <v>923</v>
      </c>
      <c r="Q764" s="1" t="s">
        <v>42</v>
      </c>
      <c r="S764" s="1" t="s">
        <v>42</v>
      </c>
      <c r="T764" s="1" t="s">
        <v>203</v>
      </c>
      <c r="V764" s="5">
        <v>44323</v>
      </c>
      <c r="W764" s="5">
        <v>43925</v>
      </c>
      <c r="X764" s="1">
        <v>1895000</v>
      </c>
      <c r="Y764" s="1">
        <v>1895000</v>
      </c>
      <c r="Z764" s="5">
        <v>43979</v>
      </c>
      <c r="AA764" s="1">
        <v>1750000</v>
      </c>
      <c r="AB764" s="1" t="s">
        <v>594</v>
      </c>
      <c r="AC764" s="5">
        <v>44322</v>
      </c>
      <c r="AF764" s="1">
        <v>10010</v>
      </c>
      <c r="AI764" s="1" t="s">
        <v>45</v>
      </c>
      <c r="AJ764" s="1">
        <v>2018</v>
      </c>
      <c r="AK764" s="1" t="s">
        <v>50</v>
      </c>
      <c r="AL764" s="1">
        <v>51</v>
      </c>
    </row>
    <row r="765" spans="1:38" x14ac:dyDescent="0.2">
      <c r="A765" s="2" t="str">
        <f>HYPERLINK("https://www.compass.com/listing/150-east-23rd-street-unit-9b-manhattan-ny-10010/239023262670103361/","150 E 23rd St, Unit 9B")</f>
        <v>150 E 23rd St, Unit 9B</v>
      </c>
      <c r="B765" s="2" t="str">
        <f t="shared" si="130"/>
        <v>Celeste Gramercy</v>
      </c>
      <c r="C765" s="1" t="s">
        <v>101</v>
      </c>
      <c r="D765" s="1" t="s">
        <v>41</v>
      </c>
      <c r="E765" s="3">
        <v>1758000</v>
      </c>
      <c r="F765" s="1">
        <v>1931.8681318681299</v>
      </c>
      <c r="G765" s="1">
        <v>4</v>
      </c>
      <c r="H765" s="1">
        <v>2</v>
      </c>
      <c r="I765" s="1">
        <v>2</v>
      </c>
      <c r="J765" s="1">
        <v>2</v>
      </c>
      <c r="K765" s="1">
        <v>2</v>
      </c>
      <c r="M765" s="1">
        <v>910</v>
      </c>
      <c r="N765" s="1">
        <v>1279</v>
      </c>
      <c r="O765" s="1">
        <v>2206</v>
      </c>
      <c r="P765" s="1">
        <v>927</v>
      </c>
      <c r="Q765" s="1" t="s">
        <v>42</v>
      </c>
      <c r="S765" s="1" t="s">
        <v>42</v>
      </c>
      <c r="T765" s="1" t="s">
        <v>203</v>
      </c>
      <c r="U765" s="1">
        <v>45</v>
      </c>
      <c r="V765" s="5">
        <v>44281</v>
      </c>
      <c r="W765" s="5">
        <v>43581</v>
      </c>
      <c r="X765" s="1">
        <v>1675000</v>
      </c>
      <c r="Y765" s="1">
        <v>1725000</v>
      </c>
      <c r="Z765" s="5">
        <v>43627</v>
      </c>
      <c r="AA765" s="1">
        <v>1758000</v>
      </c>
      <c r="AB765" s="1" t="s">
        <v>595</v>
      </c>
      <c r="AC765" s="5">
        <v>44271</v>
      </c>
      <c r="AF765" s="1">
        <v>10010</v>
      </c>
      <c r="AI765" s="1" t="s">
        <v>45</v>
      </c>
      <c r="AJ765" s="1">
        <v>2018</v>
      </c>
      <c r="AK765" s="1" t="s">
        <v>81</v>
      </c>
      <c r="AL765" s="1">
        <v>51</v>
      </c>
    </row>
    <row r="766" spans="1:38" x14ac:dyDescent="0.2">
      <c r="A766" s="2" t="str">
        <f>HYPERLINK("https://www.compass.com/listing/150-east-23rd-street-unit-10b-manhattan-ny-10010/364372381078071041/","150 E 23rd St, Unit 10B")</f>
        <v>150 E 23rd St, Unit 10B</v>
      </c>
      <c r="B766" s="2" t="str">
        <f t="shared" si="130"/>
        <v>Celeste Gramercy</v>
      </c>
      <c r="C766" s="1" t="s">
        <v>101</v>
      </c>
      <c r="D766" s="1" t="s">
        <v>41</v>
      </c>
      <c r="E766" s="3">
        <v>1775000</v>
      </c>
      <c r="F766" s="1">
        <v>1967.8492239467801</v>
      </c>
      <c r="G766" s="1">
        <v>4</v>
      </c>
      <c r="H766" s="1">
        <v>2</v>
      </c>
      <c r="I766" s="1">
        <v>2</v>
      </c>
      <c r="J766" s="1">
        <v>2</v>
      </c>
      <c r="K766" s="1">
        <v>2</v>
      </c>
      <c r="M766" s="1">
        <v>902</v>
      </c>
      <c r="N766" s="1">
        <v>1277</v>
      </c>
      <c r="O766" s="1">
        <v>2203</v>
      </c>
      <c r="P766" s="1">
        <v>926</v>
      </c>
      <c r="Q766" s="1" t="s">
        <v>42</v>
      </c>
      <c r="S766" s="1" t="s">
        <v>42</v>
      </c>
      <c r="T766" s="1" t="s">
        <v>203</v>
      </c>
      <c r="V766" s="5">
        <v>44303</v>
      </c>
      <c r="W766" s="5">
        <v>43754</v>
      </c>
      <c r="X766" s="1">
        <v>1895000</v>
      </c>
      <c r="Y766" s="1">
        <v>1895000</v>
      </c>
      <c r="Z766" s="5">
        <v>43754</v>
      </c>
      <c r="AA766" s="1">
        <v>1775000</v>
      </c>
      <c r="AB766" s="1" t="s">
        <v>596</v>
      </c>
      <c r="AC766" s="5">
        <v>44302</v>
      </c>
      <c r="AF766" s="1">
        <v>10010</v>
      </c>
      <c r="AI766" s="1" t="s">
        <v>45</v>
      </c>
      <c r="AJ766" s="1">
        <v>2018</v>
      </c>
      <c r="AK766" s="1" t="s">
        <v>81</v>
      </c>
      <c r="AL766" s="1">
        <v>51</v>
      </c>
    </row>
    <row r="767" spans="1:38" x14ac:dyDescent="0.2">
      <c r="A767" s="2" t="str">
        <f>HYPERLINK("https://www.compass.com/listing/275-west-10th-street-unit-9a-manhattan-ny-10014/29368598254383505/","275 W 10th St, Unit 9A")</f>
        <v>275 W 10th St, Unit 9A</v>
      </c>
      <c r="B767" s="2" t="str">
        <f>HYPERLINK("https://www.compass.com/building/the-shephard-manhattan-ny/281931968864632917/","The Shephard")</f>
        <v>The Shephard</v>
      </c>
      <c r="C767" s="1" t="s">
        <v>68</v>
      </c>
      <c r="D767" s="1" t="s">
        <v>41</v>
      </c>
      <c r="E767" s="3">
        <v>4836688</v>
      </c>
      <c r="F767" s="1">
        <v>2773.3302752293498</v>
      </c>
      <c r="G767" s="1">
        <v>5</v>
      </c>
      <c r="H767" s="1">
        <v>2</v>
      </c>
      <c r="I767" s="1">
        <v>3</v>
      </c>
      <c r="J767" s="1">
        <v>2.5</v>
      </c>
      <c r="M767" s="4">
        <v>1744</v>
      </c>
      <c r="N767" s="1">
        <v>1608</v>
      </c>
      <c r="O767" s="1">
        <v>3713</v>
      </c>
      <c r="P767" s="1">
        <v>2105</v>
      </c>
      <c r="Q767" s="1" t="s">
        <v>42</v>
      </c>
      <c r="S767" s="1" t="s">
        <v>42</v>
      </c>
      <c r="T767" s="1" t="s">
        <v>203</v>
      </c>
      <c r="V767" s="5">
        <v>43689</v>
      </c>
      <c r="W767" s="5">
        <v>42313</v>
      </c>
      <c r="X767" s="1">
        <v>4750000</v>
      </c>
      <c r="Y767" s="1">
        <v>4995000</v>
      </c>
      <c r="Z767" s="5">
        <v>42313</v>
      </c>
      <c r="AA767" s="1">
        <v>4836688</v>
      </c>
      <c r="AB767" s="1" t="s">
        <v>597</v>
      </c>
      <c r="AC767" s="5">
        <v>42795</v>
      </c>
      <c r="AF767" s="1">
        <v>10014</v>
      </c>
      <c r="AI767" s="1" t="s">
        <v>67</v>
      </c>
      <c r="AJ767" s="1">
        <v>2015</v>
      </c>
      <c r="AK767" s="1" t="s">
        <v>87</v>
      </c>
      <c r="AL767" s="1">
        <v>38</v>
      </c>
    </row>
    <row r="768" spans="1:38" x14ac:dyDescent="0.2">
      <c r="A768" s="2" t="str">
        <f>HYPERLINK("https://www.compass.com/listing/200-east-21st-street-unit-6e-manhattan-ny-10010/649247729754029041/","200 E 21st St, Unit 6E")</f>
        <v>200 E 21st St, Unit 6E</v>
      </c>
      <c r="B768" s="2" t="str">
        <f t="shared" ref="B768:B775" si="131">HYPERLINK("https://www.compass.com/building/200-east-21st-street-manhattan-ny/292796762689658005/","200 East 21st Street")</f>
        <v>200 East 21st Street</v>
      </c>
      <c r="C768" s="1" t="s">
        <v>101</v>
      </c>
      <c r="D768" s="1" t="s">
        <v>41</v>
      </c>
      <c r="E768" s="3">
        <v>1700000</v>
      </c>
      <c r="F768" s="1">
        <v>1650.4854368931999</v>
      </c>
      <c r="G768" s="1">
        <v>3.5</v>
      </c>
      <c r="H768" s="1">
        <v>1</v>
      </c>
      <c r="I768" s="1">
        <v>2</v>
      </c>
      <c r="J768" s="1">
        <v>1.5</v>
      </c>
      <c r="K768" s="1">
        <v>1</v>
      </c>
      <c r="L768" s="1">
        <v>1</v>
      </c>
      <c r="M768" s="4">
        <v>1030</v>
      </c>
      <c r="N768" s="1">
        <v>988</v>
      </c>
      <c r="O768" s="1">
        <v>2188</v>
      </c>
      <c r="P768" s="1">
        <v>1200</v>
      </c>
      <c r="Q768" s="1" t="s">
        <v>42</v>
      </c>
      <c r="S768" s="1" t="s">
        <v>42</v>
      </c>
      <c r="T768" s="1" t="s">
        <v>203</v>
      </c>
      <c r="U768" s="1">
        <v>180</v>
      </c>
      <c r="V768" s="5">
        <v>44378</v>
      </c>
      <c r="W768" s="5">
        <v>44147</v>
      </c>
      <c r="Z768" s="5">
        <v>44328</v>
      </c>
      <c r="AA768" s="1">
        <v>1700000</v>
      </c>
      <c r="AB768" s="1" t="s">
        <v>598</v>
      </c>
      <c r="AC768" s="5">
        <v>44375</v>
      </c>
      <c r="AF768" s="1">
        <v>10010</v>
      </c>
      <c r="AI768" s="1" t="s">
        <v>102</v>
      </c>
      <c r="AJ768" s="1">
        <v>2018</v>
      </c>
      <c r="AK768" s="1" t="s">
        <v>59</v>
      </c>
      <c r="AL768" s="1">
        <v>67</v>
      </c>
    </row>
    <row r="769" spans="1:38" x14ac:dyDescent="0.2">
      <c r="A769" s="2" t="str">
        <f>HYPERLINK("https://www.compass.com/listing/200-east-21st-street-unit-17a-manhattan-ny-10010/100621180867713265/","200 E 21st St, Unit 17A")</f>
        <v>200 E 21st St, Unit 17A</v>
      </c>
      <c r="B769" s="2" t="str">
        <f t="shared" si="131"/>
        <v>200 East 21st Street</v>
      </c>
      <c r="C769" s="1" t="s">
        <v>101</v>
      </c>
      <c r="D769" s="1" t="s">
        <v>41</v>
      </c>
      <c r="E769" s="3">
        <v>3920263</v>
      </c>
      <c r="F769" s="1">
        <v>2341.8536439665399</v>
      </c>
      <c r="G769" s="1">
        <v>4</v>
      </c>
      <c r="H769" s="1">
        <v>2</v>
      </c>
      <c r="I769" s="1">
        <v>3</v>
      </c>
      <c r="J769" s="1">
        <v>2.5</v>
      </c>
      <c r="K769" s="1">
        <v>2</v>
      </c>
      <c r="L769" s="1">
        <v>1</v>
      </c>
      <c r="M769" s="4">
        <v>1674</v>
      </c>
      <c r="N769" s="1">
        <v>1753</v>
      </c>
      <c r="O769" s="1">
        <v>5036</v>
      </c>
      <c r="P769" s="1">
        <v>3283</v>
      </c>
      <c r="Q769" s="1" t="s">
        <v>42</v>
      </c>
      <c r="S769" s="1" t="s">
        <v>42</v>
      </c>
      <c r="T769" s="1" t="s">
        <v>203</v>
      </c>
      <c r="U769" s="1">
        <v>1</v>
      </c>
      <c r="V769" s="5">
        <v>43694</v>
      </c>
      <c r="W769" s="5">
        <v>43391</v>
      </c>
      <c r="X769" s="1">
        <v>3975000</v>
      </c>
      <c r="Y769" s="1">
        <v>3975000</v>
      </c>
      <c r="Z769" s="5">
        <v>43392</v>
      </c>
      <c r="AA769" s="1">
        <v>3920263</v>
      </c>
      <c r="AB769" s="1" t="s">
        <v>599</v>
      </c>
      <c r="AC769" s="5">
        <v>43628</v>
      </c>
      <c r="AF769" s="1">
        <v>10010</v>
      </c>
      <c r="AI769" s="1" t="s">
        <v>102</v>
      </c>
      <c r="AJ769" s="1">
        <v>2018</v>
      </c>
      <c r="AK769" s="1" t="s">
        <v>55</v>
      </c>
      <c r="AL769" s="1">
        <v>67</v>
      </c>
    </row>
    <row r="770" spans="1:38" x14ac:dyDescent="0.2">
      <c r="A770" s="2" t="str">
        <f>HYPERLINK("https://www.compass.com/listing/200-east-21st-street-unit-12d-manhattan-ny-10010/100621181371120193/","200 E 21st St, Unit 12D")</f>
        <v>200 E 21st St, Unit 12D</v>
      </c>
      <c r="B770" s="2" t="str">
        <f t="shared" si="131"/>
        <v>200 East 21st Street</v>
      </c>
      <c r="C770" s="1" t="s">
        <v>101</v>
      </c>
      <c r="D770" s="1" t="s">
        <v>41</v>
      </c>
      <c r="E770" s="3">
        <v>3075000</v>
      </c>
      <c r="F770" s="1">
        <v>2100.4098360655698</v>
      </c>
      <c r="G770" s="1">
        <v>4</v>
      </c>
      <c r="H770" s="1">
        <v>2</v>
      </c>
      <c r="I770" s="1">
        <v>3</v>
      </c>
      <c r="J770" s="1">
        <v>2.5</v>
      </c>
      <c r="K770" s="1">
        <v>2</v>
      </c>
      <c r="L770" s="1">
        <v>1</v>
      </c>
      <c r="M770" s="4">
        <v>1464</v>
      </c>
      <c r="N770" s="1">
        <v>1469</v>
      </c>
      <c r="O770" s="1">
        <v>4219</v>
      </c>
      <c r="P770" s="1">
        <v>2750</v>
      </c>
      <c r="Q770" s="1" t="s">
        <v>42</v>
      </c>
      <c r="S770" s="1" t="s">
        <v>42</v>
      </c>
      <c r="T770" s="1" t="s">
        <v>203</v>
      </c>
      <c r="U770" s="1">
        <v>1</v>
      </c>
      <c r="V770" s="5">
        <v>43735</v>
      </c>
      <c r="W770" s="5">
        <v>43391</v>
      </c>
      <c r="X770" s="1">
        <v>3295000</v>
      </c>
      <c r="Y770" s="1">
        <v>3295000</v>
      </c>
      <c r="Z770" s="5">
        <v>43392</v>
      </c>
      <c r="AA770" s="1">
        <v>3075000</v>
      </c>
      <c r="AB770" s="1" t="s">
        <v>600</v>
      </c>
      <c r="AC770" s="5">
        <v>43704</v>
      </c>
      <c r="AF770" s="1">
        <v>10010</v>
      </c>
      <c r="AI770" s="1" t="s">
        <v>601</v>
      </c>
      <c r="AJ770" s="1">
        <v>2018</v>
      </c>
      <c r="AK770" s="1" t="s">
        <v>55</v>
      </c>
      <c r="AL770" s="1">
        <v>67</v>
      </c>
    </row>
    <row r="771" spans="1:38" x14ac:dyDescent="0.2">
      <c r="A771" s="2" t="str">
        <f>HYPERLINK("https://www.compass.com/listing/200-east-21st-street-unit-7c-manhattan-ny-10010/104366068868417521/","200 E 21st St, Unit 7C")</f>
        <v>200 E 21st St, Unit 7C</v>
      </c>
      <c r="B771" s="2" t="str">
        <f t="shared" si="131"/>
        <v>200 East 21st Street</v>
      </c>
      <c r="C771" s="1" t="s">
        <v>101</v>
      </c>
      <c r="D771" s="1" t="s">
        <v>41</v>
      </c>
      <c r="E771" s="3">
        <v>3280802</v>
      </c>
      <c r="F771" s="1">
        <v>2145.7171353826002</v>
      </c>
      <c r="G771" s="1">
        <v>4.5</v>
      </c>
      <c r="H771" s="1">
        <v>2</v>
      </c>
      <c r="I771" s="1">
        <v>3</v>
      </c>
      <c r="J771" s="1">
        <v>2.5</v>
      </c>
      <c r="K771" s="1">
        <v>2</v>
      </c>
      <c r="L771" s="1">
        <v>1</v>
      </c>
      <c r="M771" s="4">
        <v>1529</v>
      </c>
      <c r="N771" s="1">
        <v>1507</v>
      </c>
      <c r="O771" s="1">
        <v>4328</v>
      </c>
      <c r="P771" s="1">
        <v>2821</v>
      </c>
      <c r="Q771" s="1" t="s">
        <v>42</v>
      </c>
      <c r="S771" s="1" t="s">
        <v>42</v>
      </c>
      <c r="T771" s="1" t="s">
        <v>203</v>
      </c>
      <c r="V771" s="5">
        <v>43694</v>
      </c>
      <c r="W771" s="5">
        <v>43396</v>
      </c>
      <c r="X771" s="1">
        <v>3275000</v>
      </c>
      <c r="Y771" s="1">
        <v>3275000</v>
      </c>
      <c r="Z771" s="5">
        <v>43396</v>
      </c>
      <c r="AA771" s="1">
        <v>3280801.5</v>
      </c>
      <c r="AB771" s="1" t="s">
        <v>602</v>
      </c>
      <c r="AC771" s="5">
        <v>43628</v>
      </c>
      <c r="AF771" s="1">
        <v>10010</v>
      </c>
      <c r="AI771" s="1" t="s">
        <v>102</v>
      </c>
      <c r="AJ771" s="1">
        <v>2018</v>
      </c>
      <c r="AK771" s="1" t="s">
        <v>55</v>
      </c>
      <c r="AL771" s="1">
        <v>67</v>
      </c>
    </row>
    <row r="772" spans="1:38" x14ac:dyDescent="0.2">
      <c r="A772" s="2" t="str">
        <f>HYPERLINK("https://www.compass.com/listing/200-east-21st-street-unit-11d-manhattan-ny-10010/114392694683345217/","200 E 21st St, Unit 11D")</f>
        <v>200 E 21st St, Unit 11D</v>
      </c>
      <c r="B772" s="2" t="str">
        <f t="shared" si="131"/>
        <v>200 East 21st Street</v>
      </c>
      <c r="C772" s="1" t="s">
        <v>101</v>
      </c>
      <c r="D772" s="1" t="s">
        <v>41</v>
      </c>
      <c r="E772" s="3">
        <v>3054750</v>
      </c>
      <c r="F772" s="1">
        <v>2086.5778688524501</v>
      </c>
      <c r="G772" s="1">
        <v>4</v>
      </c>
      <c r="H772" s="1">
        <v>2</v>
      </c>
      <c r="I772" s="1">
        <v>3</v>
      </c>
      <c r="J772" s="1">
        <v>2.5</v>
      </c>
      <c r="K772" s="1">
        <v>2</v>
      </c>
      <c r="L772" s="1">
        <v>1</v>
      </c>
      <c r="M772" s="4">
        <v>1464</v>
      </c>
      <c r="N772" s="1">
        <v>1455</v>
      </c>
      <c r="O772" s="1">
        <v>4180</v>
      </c>
      <c r="P772" s="1">
        <v>2725</v>
      </c>
      <c r="Q772" s="1" t="s">
        <v>42</v>
      </c>
      <c r="S772" s="1" t="s">
        <v>42</v>
      </c>
      <c r="T772" s="1" t="s">
        <v>203</v>
      </c>
      <c r="V772" s="5">
        <v>43859</v>
      </c>
      <c r="W772" s="5">
        <v>43409</v>
      </c>
      <c r="X772" s="1">
        <v>3195000</v>
      </c>
      <c r="Y772" s="1">
        <v>3195000</v>
      </c>
      <c r="Z772" s="5">
        <v>43410</v>
      </c>
      <c r="AA772" s="1">
        <v>3054750</v>
      </c>
      <c r="AB772" s="1" t="s">
        <v>603</v>
      </c>
      <c r="AC772" s="5">
        <v>43678</v>
      </c>
      <c r="AF772" s="1">
        <v>10010</v>
      </c>
      <c r="AI772" s="1" t="s">
        <v>102</v>
      </c>
      <c r="AJ772" s="1">
        <v>2018</v>
      </c>
      <c r="AK772" s="1" t="s">
        <v>55</v>
      </c>
      <c r="AL772" s="1">
        <v>67</v>
      </c>
    </row>
    <row r="773" spans="1:38" x14ac:dyDescent="0.2">
      <c r="A773" s="2" t="str">
        <f>HYPERLINK("https://www.compass.com/listing/200-east-21st-street-unit-18a-manhattan-ny-10010/121579407734290849/","200 E 21st St, Unit 18A")</f>
        <v>200 E 21st St, Unit 18A</v>
      </c>
      <c r="B773" s="2" t="str">
        <f t="shared" si="131"/>
        <v>200 East 21st Street</v>
      </c>
      <c r="C773" s="1" t="s">
        <v>101</v>
      </c>
      <c r="D773" s="1" t="s">
        <v>41</v>
      </c>
      <c r="E773" s="3">
        <v>4075255</v>
      </c>
      <c r="F773" s="1">
        <v>2434.4411947431299</v>
      </c>
      <c r="G773" s="1">
        <v>4</v>
      </c>
      <c r="H773" s="1">
        <v>2</v>
      </c>
      <c r="I773" s="1">
        <v>3</v>
      </c>
      <c r="J773" s="1">
        <v>2.5</v>
      </c>
      <c r="K773" s="1">
        <v>2</v>
      </c>
      <c r="L773" s="1">
        <v>1</v>
      </c>
      <c r="M773" s="4">
        <v>1674</v>
      </c>
      <c r="N773" s="1">
        <v>1759</v>
      </c>
      <c r="O773" s="1">
        <v>5052</v>
      </c>
      <c r="P773" s="1">
        <v>3293</v>
      </c>
      <c r="Q773" s="1" t="s">
        <v>42</v>
      </c>
      <c r="S773" s="1" t="s">
        <v>42</v>
      </c>
      <c r="T773" s="1" t="s">
        <v>203</v>
      </c>
      <c r="U773" s="1">
        <v>169</v>
      </c>
      <c r="V773" s="5">
        <v>43830</v>
      </c>
      <c r="W773" s="5">
        <v>43201</v>
      </c>
      <c r="X773" s="1">
        <v>4075000</v>
      </c>
      <c r="Y773" s="1">
        <v>4075000</v>
      </c>
      <c r="Z773" s="5">
        <v>43370</v>
      </c>
      <c r="AA773" s="1">
        <v>4075254.56</v>
      </c>
      <c r="AB773" s="1" t="s">
        <v>604</v>
      </c>
      <c r="AC773" s="5">
        <v>43815</v>
      </c>
      <c r="AF773" s="1">
        <v>10010</v>
      </c>
      <c r="AI773" s="1" t="s">
        <v>102</v>
      </c>
      <c r="AJ773" s="1">
        <v>2018</v>
      </c>
      <c r="AK773" s="1" t="s">
        <v>55</v>
      </c>
      <c r="AL773" s="1">
        <v>67</v>
      </c>
    </row>
    <row r="774" spans="1:38" x14ac:dyDescent="0.2">
      <c r="A774" s="2" t="str">
        <f>HYPERLINK("https://www.compass.com/listing/200-east-21st-street-unit-19a-manhattan-ny-10010/85454714220680945/","200 E 21st St, Unit 19A")</f>
        <v>200 E 21st St, Unit 19A</v>
      </c>
      <c r="B774" s="2" t="str">
        <f t="shared" si="131"/>
        <v>200 East 21st Street</v>
      </c>
      <c r="C774" s="1" t="s">
        <v>101</v>
      </c>
      <c r="D774" s="1" t="s">
        <v>41</v>
      </c>
      <c r="E774" s="3">
        <v>4225992</v>
      </c>
      <c r="F774" s="1">
        <v>2524.4874910394201</v>
      </c>
      <c r="G774" s="1">
        <v>4</v>
      </c>
      <c r="H774" s="1">
        <v>2</v>
      </c>
      <c r="I774" s="1">
        <v>3</v>
      </c>
      <c r="J774" s="1">
        <v>2.5</v>
      </c>
      <c r="K774" s="1">
        <v>2</v>
      </c>
      <c r="L774" s="1">
        <v>1</v>
      </c>
      <c r="M774" s="4">
        <v>1674</v>
      </c>
      <c r="N774" s="1">
        <v>1742</v>
      </c>
      <c r="O774" s="1">
        <v>5004</v>
      </c>
      <c r="P774" s="1">
        <v>3262</v>
      </c>
      <c r="Q774" s="1" t="s">
        <v>42</v>
      </c>
      <c r="S774" s="1" t="s">
        <v>42</v>
      </c>
      <c r="T774" s="1" t="s">
        <v>203</v>
      </c>
      <c r="U774" s="1">
        <v>127</v>
      </c>
      <c r="V774" s="5">
        <v>43830</v>
      </c>
      <c r="W774" s="5">
        <v>43370</v>
      </c>
      <c r="X774" s="1">
        <v>4150000</v>
      </c>
      <c r="Y774" s="1">
        <v>4150000</v>
      </c>
      <c r="Z774" s="5">
        <v>43497</v>
      </c>
      <c r="AA774" s="1">
        <v>4225992.0599999996</v>
      </c>
      <c r="AB774" s="1" t="s">
        <v>605</v>
      </c>
      <c r="AC774" s="5">
        <v>43817</v>
      </c>
      <c r="AF774" s="1">
        <v>10010</v>
      </c>
      <c r="AI774" s="1" t="s">
        <v>102</v>
      </c>
      <c r="AJ774" s="1">
        <v>2018</v>
      </c>
      <c r="AK774" s="1" t="s">
        <v>55</v>
      </c>
      <c r="AL774" s="1">
        <v>67</v>
      </c>
    </row>
    <row r="775" spans="1:38" x14ac:dyDescent="0.2">
      <c r="A775" s="2" t="str">
        <f>HYPERLINK("https://www.compass.com/listing/200-east-21st-street-unit-16a-manhattan-ny-10010/96242683554655905/","200 E 21st St, Unit 16A")</f>
        <v>200 E 21st St, Unit 16A</v>
      </c>
      <c r="B775" s="2" t="str">
        <f t="shared" si="131"/>
        <v>200 East 21st Street</v>
      </c>
      <c r="C775" s="1" t="s">
        <v>101</v>
      </c>
      <c r="D775" s="1" t="s">
        <v>41</v>
      </c>
      <c r="E775" s="3">
        <v>4292091</v>
      </c>
      <c r="F775" s="1">
        <v>2563.97285543608</v>
      </c>
      <c r="G775" s="1">
        <v>4</v>
      </c>
      <c r="H775" s="1">
        <v>2</v>
      </c>
      <c r="I775" s="1">
        <v>3</v>
      </c>
      <c r="J775" s="1">
        <v>2.5</v>
      </c>
      <c r="K775" s="1">
        <v>2</v>
      </c>
      <c r="L775" s="1">
        <v>1</v>
      </c>
      <c r="M775" s="4">
        <v>1674</v>
      </c>
      <c r="N775" s="1">
        <v>1818</v>
      </c>
      <c r="O775" s="1">
        <v>5222</v>
      </c>
      <c r="P775" s="1">
        <v>3404</v>
      </c>
      <c r="Q775" s="1" t="s">
        <v>42</v>
      </c>
      <c r="S775" s="1" t="s">
        <v>42</v>
      </c>
      <c r="T775" s="1" t="s">
        <v>203</v>
      </c>
      <c r="V775" s="5">
        <v>43830</v>
      </c>
      <c r="W775" s="5">
        <v>43385</v>
      </c>
      <c r="X775" s="1">
        <v>4450000</v>
      </c>
      <c r="Y775" s="1">
        <v>4450000</v>
      </c>
      <c r="Z775" s="5">
        <v>43385</v>
      </c>
      <c r="AA775" s="1">
        <v>4292090.5599999996</v>
      </c>
      <c r="AB775" s="1" t="s">
        <v>606</v>
      </c>
      <c r="AC775" s="5">
        <v>43819</v>
      </c>
      <c r="AF775" s="1">
        <v>10010</v>
      </c>
      <c r="AI775" s="1" t="s">
        <v>102</v>
      </c>
      <c r="AJ775" s="1">
        <v>2018</v>
      </c>
      <c r="AK775" s="1" t="s">
        <v>55</v>
      </c>
      <c r="AL775" s="1">
        <v>67</v>
      </c>
    </row>
    <row r="776" spans="1:38" x14ac:dyDescent="0.2">
      <c r="A776" s="2" t="str">
        <f>HYPERLINK("https://www.compass.com/listing/421-west-22nd-street-unit-4r-manhattan-ny-10011/29370278492506673/","421 W 22nd St, Unit 4R")</f>
        <v>421 W 22nd St, Unit 4R</v>
      </c>
      <c r="B776" s="2" t="str">
        <f>HYPERLINK("https://www.compass.com/building/421-w-22nd-st-manhattan-ny-10011/281910201349594997/","421 W 22nd St")</f>
        <v>421 W 22nd St</v>
      </c>
      <c r="C776" s="1" t="s">
        <v>62</v>
      </c>
      <c r="D776" s="1" t="s">
        <v>41</v>
      </c>
      <c r="E776" s="3">
        <v>592112</v>
      </c>
      <c r="F776" s="1">
        <v>1345.70909090909</v>
      </c>
      <c r="G776" s="1">
        <v>2</v>
      </c>
      <c r="H776" s="1" t="s">
        <v>77</v>
      </c>
      <c r="I776" s="1">
        <v>1</v>
      </c>
      <c r="J776" s="1">
        <v>1</v>
      </c>
      <c r="K776" s="1">
        <v>1</v>
      </c>
      <c r="M776" s="1">
        <v>440</v>
      </c>
      <c r="N776" s="1">
        <v>315</v>
      </c>
      <c r="O776" s="1">
        <v>842</v>
      </c>
      <c r="P776" s="1">
        <v>527</v>
      </c>
      <c r="Q776" s="1" t="s">
        <v>42</v>
      </c>
      <c r="S776" s="1" t="s">
        <v>42</v>
      </c>
      <c r="T776" s="1" t="s">
        <v>203</v>
      </c>
      <c r="U776" s="1">
        <v>42</v>
      </c>
      <c r="V776" s="5">
        <v>43685</v>
      </c>
      <c r="W776" s="5">
        <v>41790</v>
      </c>
      <c r="X776" s="1">
        <v>595000</v>
      </c>
      <c r="Y776" s="1">
        <v>595000</v>
      </c>
      <c r="Z776" s="5">
        <v>41832</v>
      </c>
      <c r="AA776" s="1">
        <v>592112</v>
      </c>
      <c r="AB776" s="1" t="s">
        <v>607</v>
      </c>
      <c r="AC776" s="5">
        <v>42039</v>
      </c>
      <c r="AF776" s="1">
        <v>10011</v>
      </c>
      <c r="AI776" s="1" t="s">
        <v>73</v>
      </c>
      <c r="AJ776" s="1">
        <v>1900</v>
      </c>
      <c r="AL776" s="1">
        <v>8</v>
      </c>
    </row>
    <row r="777" spans="1:38" x14ac:dyDescent="0.2">
      <c r="A777" s="2" t="str">
        <f>HYPERLINK("https://www.compass.com/listing/275-west-10th-street-unit-8a-manhattan-ny-10014/29368596585046929/","275 W 10th St, Unit 8A")</f>
        <v>275 W 10th St, Unit 8A</v>
      </c>
      <c r="B777" s="2" t="str">
        <f>HYPERLINK("https://www.compass.com/building/the-shephard-manhattan-ny/281931968864632917/","The Shephard")</f>
        <v>The Shephard</v>
      </c>
      <c r="C777" s="1" t="s">
        <v>68</v>
      </c>
      <c r="D777" s="1" t="s">
        <v>41</v>
      </c>
      <c r="E777" s="3">
        <v>4950000</v>
      </c>
      <c r="F777" s="1">
        <v>2838.3027522935699</v>
      </c>
      <c r="G777" s="1">
        <v>4</v>
      </c>
      <c r="H777" s="1">
        <v>2</v>
      </c>
      <c r="I777" s="1">
        <v>3</v>
      </c>
      <c r="J777" s="1">
        <v>2.5</v>
      </c>
      <c r="M777" s="4">
        <v>1744</v>
      </c>
      <c r="N777" s="1">
        <v>1608</v>
      </c>
      <c r="O777" s="1">
        <v>3707</v>
      </c>
      <c r="P777" s="1">
        <v>2099</v>
      </c>
      <c r="Q777" s="1" t="s">
        <v>42</v>
      </c>
      <c r="S777" s="1" t="s">
        <v>42</v>
      </c>
      <c r="T777" s="1" t="s">
        <v>203</v>
      </c>
      <c r="U777" s="1">
        <v>181</v>
      </c>
      <c r="V777" s="5">
        <v>43601</v>
      </c>
      <c r="W777" s="5">
        <v>42354</v>
      </c>
      <c r="X777" s="1">
        <v>4950000</v>
      </c>
      <c r="Y777" s="1">
        <v>4950000</v>
      </c>
      <c r="Z777" s="5">
        <v>42536</v>
      </c>
      <c r="AA777" s="1">
        <v>4950000</v>
      </c>
      <c r="AB777" s="1" t="s">
        <v>608</v>
      </c>
      <c r="AC777" s="5">
        <v>42802</v>
      </c>
      <c r="AF777" s="1">
        <v>10014</v>
      </c>
      <c r="AI777" s="1" t="s">
        <v>67</v>
      </c>
      <c r="AJ777" s="1">
        <v>2015</v>
      </c>
      <c r="AK777" s="1" t="s">
        <v>55</v>
      </c>
      <c r="AL777" s="1">
        <v>38</v>
      </c>
    </row>
    <row r="778" spans="1:38" x14ac:dyDescent="0.2">
      <c r="A778" s="2" t="str">
        <f>HYPERLINK("https://www.compass.com/listing/200-east-21st-street-unit-14b-manhattan-ny-10010/144826245438313601/","200 E 21st St, Unit 14B")</f>
        <v>200 E 21st St, Unit 14B</v>
      </c>
      <c r="B778" s="2" t="str">
        <f t="shared" ref="B778:B779" si="132">HYPERLINK("https://www.compass.com/building/200-east-21st-street-manhattan-ny/292796762689658005/","200 East 21st Street")</f>
        <v>200 East 21st Street</v>
      </c>
      <c r="C778" s="1" t="s">
        <v>101</v>
      </c>
      <c r="D778" s="1" t="s">
        <v>41</v>
      </c>
      <c r="E778" s="3">
        <v>1695000</v>
      </c>
      <c r="F778" s="1">
        <v>2192.7554980595</v>
      </c>
      <c r="G778" s="1">
        <v>3</v>
      </c>
      <c r="H778" s="1">
        <v>1</v>
      </c>
      <c r="I778" s="1">
        <v>1</v>
      </c>
      <c r="J778" s="1">
        <v>1</v>
      </c>
      <c r="K778" s="1">
        <v>1</v>
      </c>
      <c r="M778" s="1">
        <v>773</v>
      </c>
      <c r="N778" s="1">
        <v>775</v>
      </c>
      <c r="O778" s="1">
        <v>2227</v>
      </c>
      <c r="P778" s="1">
        <v>1452</v>
      </c>
      <c r="Q778" s="1" t="s">
        <v>42</v>
      </c>
      <c r="S778" s="1" t="s">
        <v>42</v>
      </c>
      <c r="T778" s="1" t="s">
        <v>203</v>
      </c>
      <c r="V778" s="5">
        <v>43694</v>
      </c>
      <c r="W778" s="5">
        <v>43452</v>
      </c>
      <c r="X778" s="1">
        <v>1715000</v>
      </c>
      <c r="Y778" s="1">
        <v>1715000</v>
      </c>
      <c r="Z778" s="5">
        <v>43452</v>
      </c>
      <c r="AA778" s="1">
        <v>1695000</v>
      </c>
      <c r="AB778" s="1" t="s">
        <v>609</v>
      </c>
      <c r="AC778" s="5">
        <v>43622</v>
      </c>
      <c r="AF778" s="1">
        <v>10010</v>
      </c>
      <c r="AI778" s="1" t="s">
        <v>102</v>
      </c>
      <c r="AJ778" s="1">
        <v>2018</v>
      </c>
      <c r="AK778" s="1" t="s">
        <v>55</v>
      </c>
      <c r="AL778" s="1">
        <v>67</v>
      </c>
    </row>
    <row r="779" spans="1:38" x14ac:dyDescent="0.2">
      <c r="A779" s="2" t="str">
        <f>HYPERLINK("https://www.compass.com/listing/200-east-21st-street-unit-12b-manhattan-ny-10010/96242683395278833/","200 E 21st St, Unit 12B")</f>
        <v>200 E 21st St, Unit 12B</v>
      </c>
      <c r="B779" s="2" t="str">
        <f t="shared" si="132"/>
        <v>200 East 21st Street</v>
      </c>
      <c r="C779" s="1" t="s">
        <v>101</v>
      </c>
      <c r="D779" s="1" t="s">
        <v>41</v>
      </c>
      <c r="E779" s="3">
        <v>1700448</v>
      </c>
      <c r="F779" s="1">
        <v>2199.8027166882198</v>
      </c>
      <c r="G779" s="1">
        <v>3</v>
      </c>
      <c r="H779" s="1">
        <v>1</v>
      </c>
      <c r="I779" s="1">
        <v>1</v>
      </c>
      <c r="J779" s="1">
        <v>1</v>
      </c>
      <c r="K779" s="1">
        <v>1</v>
      </c>
      <c r="M779" s="1">
        <v>773</v>
      </c>
      <c r="N779" s="1">
        <v>772</v>
      </c>
      <c r="O779" s="1">
        <v>2218</v>
      </c>
      <c r="P779" s="1">
        <v>1446</v>
      </c>
      <c r="Q779" s="1" t="s">
        <v>42</v>
      </c>
      <c r="S779" s="1" t="s">
        <v>42</v>
      </c>
      <c r="T779" s="1" t="s">
        <v>203</v>
      </c>
      <c r="V779" s="5">
        <v>43694</v>
      </c>
      <c r="W779" s="5">
        <v>43385</v>
      </c>
      <c r="X779" s="1">
        <v>1670000</v>
      </c>
      <c r="Y779" s="1">
        <v>1670000</v>
      </c>
      <c r="Z779" s="5">
        <v>43385</v>
      </c>
      <c r="AA779" s="1">
        <v>1700447.5</v>
      </c>
      <c r="AB779" s="1" t="s">
        <v>610</v>
      </c>
      <c r="AC779" s="5">
        <v>43628</v>
      </c>
      <c r="AF779" s="1">
        <v>10010</v>
      </c>
      <c r="AI779" s="1" t="s">
        <v>102</v>
      </c>
      <c r="AJ779" s="1">
        <v>2018</v>
      </c>
      <c r="AK779" s="1" t="s">
        <v>55</v>
      </c>
      <c r="AL779" s="1">
        <v>67</v>
      </c>
    </row>
    <row r="780" spans="1:38" x14ac:dyDescent="0.2">
      <c r="A780" s="2" t="str">
        <f>HYPERLINK("https://www.compass.com/listing/189-avenue-c-unit-3a-manhattan-ny-10009/181049770838590113/","189 Avenue C, Unit 3A")</f>
        <v>189 Avenue C, Unit 3A</v>
      </c>
      <c r="B780" s="2" t="str">
        <f>HYPERLINK("https://www.compass.com/building/the-calyx-manhattan-ny/426959097439640773/","The Calyx")</f>
        <v>The Calyx</v>
      </c>
      <c r="C780" s="1" t="s">
        <v>88</v>
      </c>
      <c r="D780" s="1" t="s">
        <v>41</v>
      </c>
      <c r="E780" s="3">
        <v>549855</v>
      </c>
      <c r="F780" s="1">
        <v>969.76190476190402</v>
      </c>
      <c r="G780" s="1">
        <v>2</v>
      </c>
      <c r="H780" s="1" t="s">
        <v>77</v>
      </c>
      <c r="I780" s="1">
        <v>1</v>
      </c>
      <c r="J780" s="1">
        <v>1</v>
      </c>
      <c r="K780" s="1">
        <v>1</v>
      </c>
      <c r="M780" s="1">
        <v>567</v>
      </c>
      <c r="N780" s="1">
        <v>433.51</v>
      </c>
      <c r="O780" s="1">
        <v>749.62</v>
      </c>
      <c r="P780" s="1">
        <v>316.08333333333297</v>
      </c>
      <c r="Q780" s="1" t="s">
        <v>335</v>
      </c>
      <c r="S780" s="1" t="s">
        <v>336</v>
      </c>
      <c r="T780" s="1" t="s">
        <v>203</v>
      </c>
      <c r="U780" s="1">
        <v>13</v>
      </c>
      <c r="V780" s="5">
        <v>43631</v>
      </c>
      <c r="W780" s="5">
        <v>42432</v>
      </c>
      <c r="X780" s="1">
        <v>540000</v>
      </c>
      <c r="Y780" s="1">
        <v>540000</v>
      </c>
      <c r="Z780" s="5">
        <v>42445</v>
      </c>
      <c r="AA780" s="1">
        <v>549855</v>
      </c>
      <c r="AB780" s="1" t="s">
        <v>611</v>
      </c>
      <c r="AC780" s="5">
        <v>42572</v>
      </c>
      <c r="AF780" s="1">
        <v>10009</v>
      </c>
      <c r="AI780" s="1" t="s">
        <v>73</v>
      </c>
      <c r="AJ780" s="1">
        <v>2011</v>
      </c>
      <c r="AK780" s="1" t="s">
        <v>341</v>
      </c>
      <c r="AL780" s="1">
        <v>35</v>
      </c>
    </row>
    <row r="781" spans="1:38" x14ac:dyDescent="0.2">
      <c r="A781" s="2" t="str">
        <f>HYPERLINK("https://www.compass.com/listing/275-west-10th-street-unit-9a-manhattan-ny-10014/29368598254383489/","275 W 10th St, Unit 9A")</f>
        <v>275 W 10th St, Unit 9A</v>
      </c>
      <c r="B781" s="2" t="str">
        <f>HYPERLINK("https://www.compass.com/building/the-shephard-manhattan-ny/281931968864632917/","The Shephard")</f>
        <v>The Shephard</v>
      </c>
      <c r="C781" s="1" t="s">
        <v>68</v>
      </c>
      <c r="D781" s="1" t="s">
        <v>41</v>
      </c>
      <c r="E781" s="3">
        <v>4836687</v>
      </c>
      <c r="F781" s="1">
        <v>2773.3297018348599</v>
      </c>
      <c r="G781" s="1">
        <v>5</v>
      </c>
      <c r="H781" s="1">
        <v>2</v>
      </c>
      <c r="I781" s="1">
        <v>3</v>
      </c>
      <c r="J781" s="1">
        <v>0.5</v>
      </c>
      <c r="L781" s="1">
        <v>1</v>
      </c>
      <c r="M781" s="4">
        <v>1744</v>
      </c>
      <c r="N781" s="1">
        <v>1608</v>
      </c>
      <c r="O781" s="1">
        <v>3713</v>
      </c>
      <c r="P781" s="1">
        <v>2105</v>
      </c>
      <c r="Q781" s="1" t="s">
        <v>42</v>
      </c>
      <c r="S781" s="1" t="s">
        <v>42</v>
      </c>
      <c r="T781" s="1" t="s">
        <v>203</v>
      </c>
      <c r="V781" s="5">
        <v>43694</v>
      </c>
      <c r="W781" s="5">
        <v>42313</v>
      </c>
      <c r="X781" s="1">
        <v>4750000</v>
      </c>
      <c r="Y781" s="1">
        <v>4995000</v>
      </c>
      <c r="Z781" s="5">
        <v>42313</v>
      </c>
      <c r="AA781" s="1">
        <v>4836687</v>
      </c>
      <c r="AB781" s="1" t="s">
        <v>597</v>
      </c>
      <c r="AC781" s="5">
        <v>42795</v>
      </c>
      <c r="AF781" s="1">
        <v>10014</v>
      </c>
      <c r="AI781" s="1" t="s">
        <v>86</v>
      </c>
      <c r="AJ781" s="1">
        <v>2015</v>
      </c>
      <c r="AK781" s="1" t="s">
        <v>87</v>
      </c>
      <c r="AL781" s="1">
        <v>38</v>
      </c>
    </row>
    <row r="782" spans="1:38" x14ac:dyDescent="0.2">
      <c r="A782" s="2" t="str">
        <f>HYPERLINK("https://www.compass.com/listing/175-west-95th-street-unit-22f-manhattan-ny-10025/4852278990083197185/","175 W 95th St, Unit 22F")</f>
        <v>175 W 95th St, Unit 22F</v>
      </c>
      <c r="B782" s="2" t="str">
        <f>HYPERLINK("https://www.compass.com/building/175-w-95th-manhattan-ny/292876785429866517/","175 W 95th")</f>
        <v>175 W 95th</v>
      </c>
      <c r="C782" s="1" t="s">
        <v>47</v>
      </c>
      <c r="D782" s="1" t="s">
        <v>41</v>
      </c>
      <c r="E782" s="3">
        <v>1617492</v>
      </c>
      <c r="F782" s="1">
        <v>1704.4172813487801</v>
      </c>
      <c r="G782" s="1">
        <v>4</v>
      </c>
      <c r="H782" s="1">
        <v>2</v>
      </c>
      <c r="I782" s="1">
        <v>2</v>
      </c>
      <c r="J782" s="1">
        <v>2</v>
      </c>
      <c r="K782" s="1">
        <v>2</v>
      </c>
      <c r="M782" s="1">
        <v>949</v>
      </c>
      <c r="N782" s="1">
        <v>1078.48</v>
      </c>
      <c r="O782" s="1">
        <v>1517.61</v>
      </c>
      <c r="P782" s="1">
        <v>439.166666666666</v>
      </c>
      <c r="Q782" s="1" t="s">
        <v>42</v>
      </c>
      <c r="S782" s="1" t="s">
        <v>42</v>
      </c>
      <c r="T782" s="1" t="s">
        <v>203</v>
      </c>
      <c r="U782" s="1">
        <v>3</v>
      </c>
      <c r="V782" s="5">
        <v>43637</v>
      </c>
      <c r="W782" s="5">
        <v>42119</v>
      </c>
      <c r="X782" s="1">
        <v>1570000</v>
      </c>
      <c r="Y782" s="1">
        <v>1570000</v>
      </c>
      <c r="Z782" s="5">
        <v>42122</v>
      </c>
      <c r="AA782" s="1">
        <v>1617492</v>
      </c>
      <c r="AB782" s="1" t="s">
        <v>612</v>
      </c>
      <c r="AC782" s="5">
        <v>42377</v>
      </c>
      <c r="AF782" s="1">
        <v>10025</v>
      </c>
      <c r="AI782" s="1" t="s">
        <v>49</v>
      </c>
      <c r="AJ782" s="1">
        <v>1971</v>
      </c>
      <c r="AK782" s="1" t="s">
        <v>81</v>
      </c>
      <c r="AL782" s="1">
        <v>226</v>
      </c>
    </row>
    <row r="783" spans="1:38" x14ac:dyDescent="0.2">
      <c r="A783" s="2" t="str">
        <f>HYPERLINK("https://www.compass.com/listing/200-east-21st-street-unit-8c-manhattan-ny-10010/105151553366712209/","200 E 21st St, Unit 8C")</f>
        <v>200 E 21st St, Unit 8C</v>
      </c>
      <c r="B783" s="2" t="str">
        <f t="shared" ref="B783:B789" si="133">HYPERLINK("https://www.compass.com/building/200-east-21st-street-manhattan-ny/292796762689658005/","200 East 21st Street")</f>
        <v>200 East 21st Street</v>
      </c>
      <c r="C783" s="1" t="s">
        <v>101</v>
      </c>
      <c r="D783" s="1" t="s">
        <v>41</v>
      </c>
      <c r="E783" s="3">
        <v>3540246</v>
      </c>
      <c r="F783" s="1">
        <v>1941.98913329676</v>
      </c>
      <c r="G783" s="1">
        <v>6</v>
      </c>
      <c r="H783" s="1">
        <v>3</v>
      </c>
      <c r="I783" s="1">
        <v>4</v>
      </c>
      <c r="J783" s="1">
        <v>3.5</v>
      </c>
      <c r="K783" s="1">
        <v>3</v>
      </c>
      <c r="L783" s="1">
        <v>1</v>
      </c>
      <c r="M783" s="4">
        <v>1823</v>
      </c>
      <c r="N783" s="1">
        <v>1801</v>
      </c>
      <c r="O783" s="1">
        <v>5174</v>
      </c>
      <c r="P783" s="1">
        <v>3373</v>
      </c>
      <c r="Q783" s="1" t="s">
        <v>42</v>
      </c>
      <c r="S783" s="1" t="s">
        <v>42</v>
      </c>
      <c r="T783" s="1" t="s">
        <v>203</v>
      </c>
      <c r="V783" s="5">
        <v>43883</v>
      </c>
      <c r="W783" s="5">
        <v>43396</v>
      </c>
      <c r="X783" s="1">
        <v>3950000</v>
      </c>
      <c r="Y783" s="1">
        <v>3950000</v>
      </c>
      <c r="Z783" s="5">
        <v>43397</v>
      </c>
      <c r="AA783" s="1">
        <v>3540246.19</v>
      </c>
      <c r="AB783" s="1" t="s">
        <v>613</v>
      </c>
      <c r="AC783" s="5">
        <v>43795</v>
      </c>
      <c r="AF783" s="1">
        <v>10010</v>
      </c>
      <c r="AI783" s="1" t="s">
        <v>614</v>
      </c>
      <c r="AJ783" s="1">
        <v>2018</v>
      </c>
      <c r="AK783" s="1" t="s">
        <v>55</v>
      </c>
      <c r="AL783" s="1">
        <v>67</v>
      </c>
    </row>
    <row r="784" spans="1:38" x14ac:dyDescent="0.2">
      <c r="A784" s="2" t="str">
        <f>HYPERLINK("https://www.compass.com/listing/200-east-21st-street-unit-11c-manhattan-ny-10010/181117176416156257/","200 E 21st St, Unit 11C")</f>
        <v>200 E 21st St, Unit 11C</v>
      </c>
      <c r="B784" s="2" t="str">
        <f t="shared" si="133"/>
        <v>200 East 21st Street</v>
      </c>
      <c r="C784" s="1" t="s">
        <v>101</v>
      </c>
      <c r="D784" s="1" t="s">
        <v>41</v>
      </c>
      <c r="E784" s="3">
        <v>4000255</v>
      </c>
      <c r="F784" s="1">
        <v>2194.3253922106401</v>
      </c>
      <c r="G784" s="1">
        <v>6</v>
      </c>
      <c r="H784" s="1">
        <v>3</v>
      </c>
      <c r="I784" s="1">
        <v>4</v>
      </c>
      <c r="J784" s="1">
        <v>3.5</v>
      </c>
      <c r="K784" s="1">
        <v>3</v>
      </c>
      <c r="L784" s="1">
        <v>1</v>
      </c>
      <c r="M784" s="4">
        <v>1823</v>
      </c>
      <c r="N784" s="1">
        <v>1828</v>
      </c>
      <c r="O784" s="1">
        <v>3243</v>
      </c>
      <c r="P784" s="1">
        <v>1415</v>
      </c>
      <c r="Q784" s="1" t="s">
        <v>42</v>
      </c>
      <c r="S784" s="1" t="s">
        <v>42</v>
      </c>
      <c r="T784" s="1" t="s">
        <v>203</v>
      </c>
      <c r="U784" s="1">
        <v>184</v>
      </c>
      <c r="V784" s="5">
        <v>43686</v>
      </c>
      <c r="W784" s="5">
        <v>43501</v>
      </c>
      <c r="X784" s="1">
        <v>4250000</v>
      </c>
      <c r="Y784" s="1">
        <v>4250000</v>
      </c>
      <c r="AA784" s="1">
        <v>4000255.19</v>
      </c>
      <c r="AB784" s="1" t="s">
        <v>615</v>
      </c>
      <c r="AC784" s="5">
        <v>43748</v>
      </c>
      <c r="AF784" s="1">
        <v>10010</v>
      </c>
      <c r="AI784" s="1" t="s">
        <v>102</v>
      </c>
      <c r="AJ784" s="1">
        <v>2018</v>
      </c>
      <c r="AK784" s="1" t="s">
        <v>55</v>
      </c>
      <c r="AL784" s="1">
        <v>67</v>
      </c>
    </row>
    <row r="785" spans="1:38" x14ac:dyDescent="0.2">
      <c r="A785" s="2" t="str">
        <f>HYPERLINK("https://www.compass.com/listing/200-east-21st-street-unit-12c-manhattan-ny-10010/252781299155149361/","200 E 21st St, Unit 12C")</f>
        <v>200 E 21st St, Unit 12C</v>
      </c>
      <c r="B785" s="2" t="str">
        <f t="shared" si="133"/>
        <v>200 East 21st Street</v>
      </c>
      <c r="C785" s="1" t="s">
        <v>101</v>
      </c>
      <c r="D785" s="1" t="s">
        <v>41</v>
      </c>
      <c r="E785" s="3">
        <v>3800255</v>
      </c>
      <c r="F785" s="1">
        <v>2084.6161217772901</v>
      </c>
      <c r="G785" s="1">
        <v>5.5</v>
      </c>
      <c r="H785" s="1">
        <v>3</v>
      </c>
      <c r="I785" s="1">
        <v>4</v>
      </c>
      <c r="J785" s="1">
        <v>3.5</v>
      </c>
      <c r="K785" s="1">
        <v>3</v>
      </c>
      <c r="L785" s="1">
        <v>1</v>
      </c>
      <c r="M785" s="4">
        <v>1823</v>
      </c>
      <c r="N785" s="1">
        <v>1839</v>
      </c>
      <c r="O785" s="1">
        <v>3263</v>
      </c>
      <c r="P785" s="1">
        <v>1424</v>
      </c>
      <c r="Q785" s="1" t="s">
        <v>42</v>
      </c>
      <c r="S785" s="1" t="s">
        <v>42</v>
      </c>
      <c r="T785" s="1" t="s">
        <v>203</v>
      </c>
      <c r="U785" s="1">
        <v>189</v>
      </c>
      <c r="V785" s="5">
        <v>43839</v>
      </c>
      <c r="W785" s="5">
        <v>43601</v>
      </c>
      <c r="X785" s="1">
        <v>4350000</v>
      </c>
      <c r="Y785" s="1">
        <v>4100000</v>
      </c>
      <c r="Z785" s="5">
        <v>43790</v>
      </c>
      <c r="AA785" s="1">
        <v>3800255.19</v>
      </c>
      <c r="AB785" s="1" t="s">
        <v>616</v>
      </c>
      <c r="AC785" s="5">
        <v>43826</v>
      </c>
      <c r="AF785" s="1">
        <v>10010</v>
      </c>
      <c r="AI785" s="1" t="s">
        <v>102</v>
      </c>
      <c r="AJ785" s="1">
        <v>2018</v>
      </c>
      <c r="AK785" s="1" t="s">
        <v>55</v>
      </c>
      <c r="AL785" s="1">
        <v>67</v>
      </c>
    </row>
    <row r="786" spans="1:38" x14ac:dyDescent="0.2">
      <c r="A786" s="2" t="str">
        <f>HYPERLINK("https://www.compass.com/listing/200-east-21st-street-unit-11c-manhattan-ny-10010/344012350553921473/","200 E 21st St, Unit 11C")</f>
        <v>200 E 21st St, Unit 11C</v>
      </c>
      <c r="B786" s="2" t="str">
        <f t="shared" si="133"/>
        <v>200 East 21st Street</v>
      </c>
      <c r="C786" s="1" t="s">
        <v>101</v>
      </c>
      <c r="D786" s="1" t="s">
        <v>41</v>
      </c>
      <c r="E786" s="3">
        <v>4000255</v>
      </c>
      <c r="F786" s="1">
        <v>2194.3253922106401</v>
      </c>
      <c r="G786" s="1">
        <v>6</v>
      </c>
      <c r="H786" s="1">
        <v>3</v>
      </c>
      <c r="I786" s="1">
        <v>4</v>
      </c>
      <c r="J786" s="1">
        <v>3.5</v>
      </c>
      <c r="K786" s="1">
        <v>3</v>
      </c>
      <c r="L786" s="1">
        <v>1</v>
      </c>
      <c r="M786" s="4">
        <v>1823</v>
      </c>
      <c r="N786" s="1">
        <v>1828</v>
      </c>
      <c r="O786" s="1">
        <v>3243</v>
      </c>
      <c r="P786" s="1">
        <v>1415</v>
      </c>
      <c r="Q786" s="1" t="s">
        <v>42</v>
      </c>
      <c r="S786" s="1" t="s">
        <v>42</v>
      </c>
      <c r="T786" s="1" t="s">
        <v>203</v>
      </c>
      <c r="U786" s="1">
        <v>1</v>
      </c>
      <c r="V786" s="5">
        <v>43859</v>
      </c>
      <c r="W786" s="5">
        <v>43725</v>
      </c>
      <c r="X786" s="1">
        <v>4250000</v>
      </c>
      <c r="Y786" s="1">
        <v>4250000</v>
      </c>
      <c r="Z786" s="5">
        <v>43726</v>
      </c>
      <c r="AA786" s="1">
        <v>4000255.19</v>
      </c>
      <c r="AB786" s="1" t="s">
        <v>615</v>
      </c>
      <c r="AC786" s="5">
        <v>43748</v>
      </c>
      <c r="AF786" s="1">
        <v>10010</v>
      </c>
      <c r="AI786" s="1" t="s">
        <v>102</v>
      </c>
      <c r="AJ786" s="1">
        <v>2018</v>
      </c>
      <c r="AK786" s="1" t="s">
        <v>55</v>
      </c>
      <c r="AL786" s="1">
        <v>67</v>
      </c>
    </row>
    <row r="787" spans="1:38" x14ac:dyDescent="0.2">
      <c r="A787" s="2" t="str">
        <f>HYPERLINK("https://www.compass.com/listing/200-east-21st-street-unit-14c-manhattan-ny-10010/389710422940054193/","200 E 21st St, Unit 14C")</f>
        <v>200 E 21st St, Unit 14C</v>
      </c>
      <c r="B787" s="2" t="str">
        <f t="shared" si="133"/>
        <v>200 East 21st Street</v>
      </c>
      <c r="C787" s="1" t="s">
        <v>101</v>
      </c>
      <c r="D787" s="1" t="s">
        <v>41</v>
      </c>
      <c r="E787" s="3">
        <v>3800000</v>
      </c>
      <c r="F787" s="1">
        <v>2084.4761382336801</v>
      </c>
      <c r="G787" s="1">
        <v>6.5</v>
      </c>
      <c r="H787" s="1">
        <v>3</v>
      </c>
      <c r="I787" s="1">
        <v>4</v>
      </c>
      <c r="J787" s="1">
        <v>3.5</v>
      </c>
      <c r="K787" s="1">
        <v>3</v>
      </c>
      <c r="L787" s="1">
        <v>1</v>
      </c>
      <c r="M787" s="4">
        <v>1823</v>
      </c>
      <c r="N787" s="1">
        <v>1850</v>
      </c>
      <c r="O787" s="1">
        <v>4105</v>
      </c>
      <c r="P787" s="1">
        <v>2255</v>
      </c>
      <c r="Q787" s="1" t="s">
        <v>42</v>
      </c>
      <c r="S787" s="1" t="s">
        <v>42</v>
      </c>
      <c r="T787" s="1" t="s">
        <v>203</v>
      </c>
      <c r="U787" s="1">
        <v>321</v>
      </c>
      <c r="V787" s="5">
        <v>44314</v>
      </c>
      <c r="W787" s="5">
        <v>43789</v>
      </c>
      <c r="X787" s="1">
        <v>4200000</v>
      </c>
      <c r="Y787" s="1">
        <v>3995000</v>
      </c>
      <c r="Z787" s="5">
        <v>44205</v>
      </c>
      <c r="AA787" s="1">
        <v>3800000</v>
      </c>
      <c r="AB787" s="1" t="s">
        <v>617</v>
      </c>
      <c r="AC787" s="5">
        <v>44243</v>
      </c>
      <c r="AF787" s="1">
        <v>10010</v>
      </c>
      <c r="AI787" s="1" t="s">
        <v>102</v>
      </c>
      <c r="AJ787" s="1">
        <v>2018</v>
      </c>
      <c r="AK787" s="1" t="s">
        <v>55</v>
      </c>
      <c r="AL787" s="1">
        <v>67</v>
      </c>
    </row>
    <row r="788" spans="1:38" x14ac:dyDescent="0.2">
      <c r="A788" s="2" t="str">
        <f>HYPERLINK("https://www.compass.com/listing/200-east-21st-street-unit-10c-manhattan-ny-10010/91260156301664609/","200 E 21st St, Unit 10C")</f>
        <v>200 E 21st St, Unit 10C</v>
      </c>
      <c r="B788" s="2" t="str">
        <f t="shared" si="133"/>
        <v>200 East 21st Street</v>
      </c>
      <c r="C788" s="1" t="s">
        <v>101</v>
      </c>
      <c r="D788" s="1" t="s">
        <v>41</v>
      </c>
      <c r="E788" s="3">
        <v>4031454</v>
      </c>
      <c r="F788" s="1">
        <v>2211.4395940756899</v>
      </c>
      <c r="G788" s="1">
        <v>6</v>
      </c>
      <c r="H788" s="1">
        <v>3</v>
      </c>
      <c r="I788" s="1">
        <v>4</v>
      </c>
      <c r="J788" s="1">
        <v>3.5</v>
      </c>
      <c r="K788" s="1">
        <v>3</v>
      </c>
      <c r="L788" s="1">
        <v>1</v>
      </c>
      <c r="M788" s="4">
        <v>1823</v>
      </c>
      <c r="N788" s="1">
        <v>1823</v>
      </c>
      <c r="O788" s="1">
        <v>5237</v>
      </c>
      <c r="P788" s="1">
        <v>3414</v>
      </c>
      <c r="Q788" s="1" t="s">
        <v>42</v>
      </c>
      <c r="S788" s="1" t="s">
        <v>42</v>
      </c>
      <c r="T788" s="1" t="s">
        <v>203</v>
      </c>
      <c r="U788" s="1">
        <v>91</v>
      </c>
      <c r="V788" s="5">
        <v>43694</v>
      </c>
      <c r="W788" s="5">
        <v>43201</v>
      </c>
      <c r="X788" s="1">
        <v>4150000</v>
      </c>
      <c r="Y788" s="1">
        <v>3995000</v>
      </c>
      <c r="Z788" s="5">
        <v>43292</v>
      </c>
      <c r="AA788" s="1">
        <v>4031454.38</v>
      </c>
      <c r="AB788" s="1" t="s">
        <v>618</v>
      </c>
      <c r="AC788" s="5">
        <v>43627</v>
      </c>
      <c r="AF788" s="1">
        <v>10010</v>
      </c>
      <c r="AI788" s="1" t="s">
        <v>102</v>
      </c>
      <c r="AJ788" s="1">
        <v>2018</v>
      </c>
      <c r="AK788" s="1" t="s">
        <v>55</v>
      </c>
      <c r="AL788" s="1">
        <v>67</v>
      </c>
    </row>
    <row r="789" spans="1:38" x14ac:dyDescent="0.2">
      <c r="A789" s="2" t="str">
        <f>HYPERLINK("https://www.compass.com/listing/200-east-21st-street-unit-5d-manhattan-ny-10010/753556887020786049/","200 E 21st St, Unit 5D")</f>
        <v>200 E 21st St, Unit 5D</v>
      </c>
      <c r="B789" s="2" t="str">
        <f t="shared" si="133"/>
        <v>200 East 21st Street</v>
      </c>
      <c r="C789" s="1" t="s">
        <v>101</v>
      </c>
      <c r="D789" s="1" t="s">
        <v>41</v>
      </c>
      <c r="E789" s="3">
        <v>1510000</v>
      </c>
      <c r="F789" s="1">
        <v>2117.8120617110799</v>
      </c>
      <c r="G789" s="1">
        <v>2</v>
      </c>
      <c r="H789" s="1">
        <v>1</v>
      </c>
      <c r="I789" s="1">
        <v>1</v>
      </c>
      <c r="J789" s="1">
        <v>1</v>
      </c>
      <c r="K789" s="1">
        <v>1</v>
      </c>
      <c r="M789" s="1">
        <v>713</v>
      </c>
      <c r="N789" s="1">
        <v>728</v>
      </c>
      <c r="O789" s="1">
        <v>1414</v>
      </c>
      <c r="P789" s="1">
        <v>686</v>
      </c>
      <c r="Q789" s="1" t="s">
        <v>42</v>
      </c>
      <c r="S789" s="1" t="s">
        <v>42</v>
      </c>
      <c r="T789" s="1" t="s">
        <v>203</v>
      </c>
      <c r="U789" s="1">
        <v>106</v>
      </c>
      <c r="V789" s="5">
        <v>44401</v>
      </c>
      <c r="W789" s="5">
        <v>44291</v>
      </c>
      <c r="X789" s="1">
        <v>1565000</v>
      </c>
      <c r="Y789" s="1">
        <v>1565000</v>
      </c>
      <c r="Z789" s="5">
        <v>44398</v>
      </c>
      <c r="AA789" s="1">
        <v>1510000</v>
      </c>
      <c r="AB789" s="1" t="s">
        <v>619</v>
      </c>
      <c r="AC789" s="5">
        <v>44399</v>
      </c>
      <c r="AF789" s="1">
        <v>10010</v>
      </c>
      <c r="AI789" s="1" t="s">
        <v>102</v>
      </c>
      <c r="AJ789" s="1">
        <v>2018</v>
      </c>
      <c r="AK789" s="1" t="s">
        <v>59</v>
      </c>
      <c r="AL789" s="1">
        <v>67</v>
      </c>
    </row>
    <row r="790" spans="1:38" x14ac:dyDescent="0.2">
      <c r="A790" s="2" t="str">
        <f>HYPERLINK("https://www.compass.com/listing/275-west-10th-street-unit-6c-manhattan-ny-10014/583145942260467457/","275 W 10th St, Unit 6C")</f>
        <v>275 W 10th St, Unit 6C</v>
      </c>
      <c r="B790" s="2" t="str">
        <f>HYPERLINK("https://www.compass.com/building/the-shephard-manhattan-ny/281931968864632917/","The Shephard")</f>
        <v>The Shephard</v>
      </c>
      <c r="C790" s="1" t="s">
        <v>68</v>
      </c>
      <c r="D790" s="1" t="s">
        <v>41</v>
      </c>
      <c r="E790" s="3">
        <v>6000000</v>
      </c>
      <c r="F790" s="1">
        <v>2866.6985188724302</v>
      </c>
      <c r="G790" s="1">
        <v>4</v>
      </c>
      <c r="H790" s="1">
        <v>2</v>
      </c>
      <c r="I790" s="1">
        <v>3</v>
      </c>
      <c r="J790" s="1">
        <v>2.5</v>
      </c>
      <c r="K790" s="1">
        <v>2</v>
      </c>
      <c r="L790" s="1">
        <v>1</v>
      </c>
      <c r="M790" s="4">
        <v>2093</v>
      </c>
      <c r="N790" s="1">
        <v>1980</v>
      </c>
      <c r="O790" s="1">
        <v>4470</v>
      </c>
      <c r="P790" s="1">
        <v>2490</v>
      </c>
      <c r="Q790" s="1" t="s">
        <v>42</v>
      </c>
      <c r="S790" s="1" t="s">
        <v>42</v>
      </c>
      <c r="T790" s="1" t="s">
        <v>203</v>
      </c>
      <c r="U790" s="1">
        <v>104</v>
      </c>
      <c r="V790" s="5">
        <v>44225</v>
      </c>
      <c r="W790" s="5">
        <v>44056</v>
      </c>
      <c r="X790" s="1">
        <v>6495000</v>
      </c>
      <c r="Y790" s="1">
        <v>6495000</v>
      </c>
      <c r="AA790" s="1">
        <v>6000000</v>
      </c>
      <c r="AB790" s="1" t="s">
        <v>620</v>
      </c>
      <c r="AC790" s="5">
        <v>44204</v>
      </c>
      <c r="AF790" s="1">
        <v>10014</v>
      </c>
      <c r="AI790" s="1" t="s">
        <v>67</v>
      </c>
      <c r="AJ790" s="1">
        <v>2015</v>
      </c>
      <c r="AK790" s="1" t="s">
        <v>87</v>
      </c>
      <c r="AL790" s="1">
        <v>38</v>
      </c>
    </row>
    <row r="791" spans="1:38" x14ac:dyDescent="0.2">
      <c r="A791" s="2" t="str">
        <f>HYPERLINK("https://www.compass.com/listing/30-park-place-unit-54d-manhattan-ny-10007/29357573845028161/","30 Park Pl, Unit 54D")</f>
        <v>30 Park Pl, Unit 54D</v>
      </c>
      <c r="B791" s="2" t="str">
        <f>HYPERLINK("https://www.compass.com/building/30-park-pl-manhattan-ny-10007/281896912905317605/","30 Park Pl")</f>
        <v>30 Park Pl</v>
      </c>
      <c r="C791" s="1" t="s">
        <v>40</v>
      </c>
      <c r="D791" s="1" t="s">
        <v>41</v>
      </c>
      <c r="E791" s="3">
        <v>2261040</v>
      </c>
      <c r="F791" s="1">
        <v>1470.11703511053</v>
      </c>
      <c r="H791" s="1">
        <v>2</v>
      </c>
      <c r="J791" s="1">
        <v>2.5</v>
      </c>
      <c r="K791" s="1">
        <v>2</v>
      </c>
      <c r="L791" s="1">
        <v>1</v>
      </c>
      <c r="M791" s="4">
        <v>1538</v>
      </c>
      <c r="N791" s="1">
        <v>1253</v>
      </c>
      <c r="O791" s="1">
        <v>4520</v>
      </c>
      <c r="P791" s="1">
        <v>3267</v>
      </c>
      <c r="Q791" s="1" t="s">
        <v>42</v>
      </c>
      <c r="S791" s="1" t="s">
        <v>42</v>
      </c>
      <c r="T791" s="1" t="s">
        <v>203</v>
      </c>
      <c r="AA791" s="1">
        <v>2261040</v>
      </c>
      <c r="AB791" s="1" t="s">
        <v>621</v>
      </c>
      <c r="AC791" s="5">
        <v>42880</v>
      </c>
      <c r="AF791" s="1">
        <v>10007</v>
      </c>
      <c r="AJ791" s="1">
        <v>2016</v>
      </c>
      <c r="AK791" s="1" t="s">
        <v>50</v>
      </c>
      <c r="AL791" s="1">
        <v>157</v>
      </c>
    </row>
    <row r="792" spans="1:38" x14ac:dyDescent="0.2">
      <c r="A792" s="2" t="str">
        <f>HYPERLINK("https://www.compass.com/listing/275-west-10th-street-unit-6c-manhattan-ny-10014/29368594177519921/","275 W 10th St, Unit 6C")</f>
        <v>275 W 10th St, Unit 6C</v>
      </c>
      <c r="B792" s="2" t="str">
        <f>HYPERLINK("https://www.compass.com/building/the-shephard-manhattan-ny/281931968864632917/","The Shephard")</f>
        <v>The Shephard</v>
      </c>
      <c r="C792" s="1" t="s">
        <v>68</v>
      </c>
      <c r="D792" s="1" t="s">
        <v>41</v>
      </c>
      <c r="E792" s="3">
        <v>5850000</v>
      </c>
      <c r="F792" s="1">
        <v>2795.0310559006198</v>
      </c>
      <c r="G792" s="1">
        <v>4</v>
      </c>
      <c r="H792" s="1">
        <v>2</v>
      </c>
      <c r="I792" s="1">
        <v>3</v>
      </c>
      <c r="J792" s="1">
        <v>2.5</v>
      </c>
      <c r="M792" s="4">
        <v>2093</v>
      </c>
      <c r="N792" s="1">
        <v>1929</v>
      </c>
      <c r="O792" s="1">
        <v>4455</v>
      </c>
      <c r="P792" s="1">
        <v>2526</v>
      </c>
      <c r="Q792" s="1" t="s">
        <v>42</v>
      </c>
      <c r="S792" s="1" t="s">
        <v>42</v>
      </c>
      <c r="T792" s="1" t="s">
        <v>203</v>
      </c>
      <c r="U792" s="1">
        <v>76</v>
      </c>
      <c r="V792" s="5">
        <v>43671</v>
      </c>
      <c r="W792" s="5">
        <v>42273</v>
      </c>
      <c r="X792" s="1">
        <v>5850000</v>
      </c>
      <c r="Y792" s="1">
        <v>5850000</v>
      </c>
      <c r="Z792" s="5">
        <v>42349</v>
      </c>
      <c r="AA792" s="1">
        <v>5850000</v>
      </c>
      <c r="AB792" s="1" t="s">
        <v>622</v>
      </c>
      <c r="AC792" s="5">
        <v>42794</v>
      </c>
      <c r="AF792" s="1">
        <v>10014</v>
      </c>
      <c r="AI792" s="1" t="s">
        <v>67</v>
      </c>
      <c r="AJ792" s="1">
        <v>2015</v>
      </c>
      <c r="AK792" s="1" t="s">
        <v>55</v>
      </c>
      <c r="AL792" s="1">
        <v>38</v>
      </c>
    </row>
    <row r="793" spans="1:38" x14ac:dyDescent="0.2">
      <c r="A793" s="2" t="str">
        <f>HYPERLINK("https://www.compass.com/listing/360-central-park-west-unit-3b-manhattan-ny-10025/29399270209646161/","360 Central Park W, Unit 3B")</f>
        <v>360 Central Park W, Unit 3B</v>
      </c>
      <c r="B793" s="2" t="str">
        <f t="shared" ref="B793:B794" si="134">HYPERLINK("https://www.compass.com/building/360-central-park-west-manhattan-ny/281971555427243781/","360 Central Park West")</f>
        <v>360 Central Park West</v>
      </c>
      <c r="C793" s="1" t="s">
        <v>47</v>
      </c>
      <c r="D793" s="1" t="s">
        <v>41</v>
      </c>
      <c r="E793" s="3">
        <v>3049659</v>
      </c>
      <c r="F793" s="1">
        <v>2002.4024950754999</v>
      </c>
      <c r="G793" s="1">
        <v>4</v>
      </c>
      <c r="H793" s="1">
        <v>2</v>
      </c>
      <c r="I793" s="1">
        <v>3</v>
      </c>
      <c r="J793" s="1">
        <v>2.5</v>
      </c>
      <c r="M793" s="4">
        <v>1523</v>
      </c>
      <c r="N793" s="1">
        <v>1199</v>
      </c>
      <c r="O793" s="1">
        <v>1974</v>
      </c>
      <c r="P793" s="1">
        <v>775</v>
      </c>
      <c r="Q793" s="1" t="s">
        <v>42</v>
      </c>
      <c r="S793" s="1" t="s">
        <v>42</v>
      </c>
      <c r="T793" s="1" t="s">
        <v>203</v>
      </c>
      <c r="U793" s="1">
        <v>26</v>
      </c>
      <c r="V793" s="5">
        <v>43650</v>
      </c>
      <c r="W793" s="5">
        <v>42453</v>
      </c>
      <c r="X793" s="1">
        <v>2995000</v>
      </c>
      <c r="Y793" s="1">
        <v>2995000</v>
      </c>
      <c r="Z793" s="5">
        <v>42479</v>
      </c>
      <c r="AA793" s="1">
        <v>3049659</v>
      </c>
      <c r="AB793" s="1" t="s">
        <v>623</v>
      </c>
      <c r="AC793" s="5">
        <v>43145</v>
      </c>
      <c r="AF793" s="1">
        <v>10025</v>
      </c>
      <c r="AI793" s="1" t="s">
        <v>348</v>
      </c>
      <c r="AJ793" s="1">
        <v>1929</v>
      </c>
      <c r="AK793" s="1" t="s">
        <v>87</v>
      </c>
      <c r="AL793" s="1">
        <v>126</v>
      </c>
    </row>
    <row r="794" spans="1:38" x14ac:dyDescent="0.2">
      <c r="A794" s="2" t="str">
        <f>HYPERLINK("https://www.compass.com/listing/360-central-park-west-unit-3b-manhattan-ny-10025/801615773214770153/","360 Central Park W, Unit 3B")</f>
        <v>360 Central Park W, Unit 3B</v>
      </c>
      <c r="B794" s="2" t="str">
        <f t="shared" si="134"/>
        <v>360 Central Park West</v>
      </c>
      <c r="C794" s="1" t="s">
        <v>47</v>
      </c>
      <c r="D794" s="1" t="s">
        <v>41</v>
      </c>
      <c r="E794" s="3">
        <v>3049659</v>
      </c>
      <c r="F794" s="1">
        <v>2002.4023309258</v>
      </c>
      <c r="G794" s="1">
        <v>4</v>
      </c>
      <c r="H794" s="1">
        <v>2</v>
      </c>
      <c r="I794" s="1">
        <v>3</v>
      </c>
      <c r="J794" s="1">
        <v>2.5</v>
      </c>
      <c r="K794" s="1">
        <v>2</v>
      </c>
      <c r="L794" s="1">
        <v>1</v>
      </c>
      <c r="M794" s="4">
        <v>1523</v>
      </c>
      <c r="N794" s="1">
        <v>1199</v>
      </c>
      <c r="O794" s="1">
        <v>1974</v>
      </c>
      <c r="P794" s="1">
        <v>775</v>
      </c>
      <c r="Q794" s="1" t="s">
        <v>42</v>
      </c>
      <c r="S794" s="1" t="s">
        <v>42</v>
      </c>
      <c r="T794" s="1" t="s">
        <v>203</v>
      </c>
      <c r="U794" s="1">
        <v>692</v>
      </c>
      <c r="V794" s="5">
        <v>43678</v>
      </c>
      <c r="W794" s="5">
        <v>42452</v>
      </c>
      <c r="X794" s="1">
        <v>2995000</v>
      </c>
      <c r="Y794" s="1">
        <v>2995000</v>
      </c>
      <c r="AA794" s="1">
        <v>3049658.75</v>
      </c>
      <c r="AB794" s="1" t="s">
        <v>623</v>
      </c>
      <c r="AC794" s="5">
        <v>43144</v>
      </c>
      <c r="AF794" s="1">
        <v>10025</v>
      </c>
      <c r="AI794" s="1" t="s">
        <v>348</v>
      </c>
      <c r="AJ794" s="1">
        <v>1929</v>
      </c>
      <c r="AK794" s="1" t="s">
        <v>87</v>
      </c>
      <c r="AL794" s="1">
        <v>126</v>
      </c>
    </row>
    <row r="795" spans="1:38" x14ac:dyDescent="0.2">
      <c r="A795" s="2" t="str">
        <f>HYPERLINK("https://www.compass.com/listing/275-west-10th-street-unit-7d-manhattan-ny-10014/29368595637137729/","275 W 10th St, Unit 7D")</f>
        <v>275 W 10th St, Unit 7D</v>
      </c>
      <c r="B795" s="2" t="str">
        <f t="shared" ref="B795:B796" si="135">HYPERLINK("https://www.compass.com/building/the-shephard-manhattan-ny/281931968864632917/","The Shephard")</f>
        <v>The Shephard</v>
      </c>
      <c r="C795" s="1" t="s">
        <v>68</v>
      </c>
      <c r="D795" s="1" t="s">
        <v>41</v>
      </c>
      <c r="E795" s="3">
        <v>4963968</v>
      </c>
      <c r="F795" s="1">
        <v>2768.52649191299</v>
      </c>
      <c r="G795" s="1">
        <v>4</v>
      </c>
      <c r="H795" s="1">
        <v>2</v>
      </c>
      <c r="I795" s="1">
        <v>2</v>
      </c>
      <c r="M795" s="4">
        <v>1793</v>
      </c>
      <c r="N795" s="1">
        <v>1653</v>
      </c>
      <c r="O795" s="1">
        <v>3817</v>
      </c>
      <c r="P795" s="1">
        <v>2164</v>
      </c>
      <c r="Q795" s="1" t="s">
        <v>42</v>
      </c>
      <c r="S795" s="1" t="s">
        <v>42</v>
      </c>
      <c r="T795" s="1" t="s">
        <v>203</v>
      </c>
      <c r="U795" s="1">
        <v>56</v>
      </c>
      <c r="V795" s="5">
        <v>43670</v>
      </c>
      <c r="W795" s="5">
        <v>42273</v>
      </c>
      <c r="X795" s="1">
        <v>4875000</v>
      </c>
      <c r="Y795" s="1">
        <v>4875000</v>
      </c>
      <c r="Z795" s="5">
        <v>42329</v>
      </c>
      <c r="AA795" s="1">
        <v>4963968</v>
      </c>
      <c r="AB795" s="1" t="s">
        <v>590</v>
      </c>
      <c r="AC795" s="5">
        <v>42802</v>
      </c>
      <c r="AF795" s="1">
        <v>10014</v>
      </c>
      <c r="AI795" s="1" t="s">
        <v>86</v>
      </c>
      <c r="AJ795" s="1">
        <v>2015</v>
      </c>
      <c r="AK795" s="1" t="s">
        <v>87</v>
      </c>
      <c r="AL795" s="1">
        <v>38</v>
      </c>
    </row>
    <row r="796" spans="1:38" x14ac:dyDescent="0.2">
      <c r="A796" s="2" t="str">
        <f>HYPERLINK("https://www.compass.com/listing/275-west-10th-street-unit-8a-manhattan-ny-10014/29368596585046913/","275 W 10th St, Unit 8A")</f>
        <v>275 W 10th St, Unit 8A</v>
      </c>
      <c r="B796" s="2" t="str">
        <f t="shared" si="135"/>
        <v>The Shephard</v>
      </c>
      <c r="C796" s="1" t="s">
        <v>68</v>
      </c>
      <c r="D796" s="1" t="s">
        <v>41</v>
      </c>
      <c r="E796" s="3">
        <v>4950000</v>
      </c>
      <c r="F796" s="1">
        <v>2838.3027522935699</v>
      </c>
      <c r="G796" s="1">
        <v>4</v>
      </c>
      <c r="H796" s="1">
        <v>2</v>
      </c>
      <c r="I796" s="1">
        <v>3</v>
      </c>
      <c r="J796" s="1">
        <v>0.5</v>
      </c>
      <c r="L796" s="1">
        <v>1</v>
      </c>
      <c r="M796" s="4">
        <v>1744</v>
      </c>
      <c r="N796" s="1">
        <v>1608</v>
      </c>
      <c r="O796" s="1">
        <v>3707</v>
      </c>
      <c r="P796" s="1">
        <v>2099</v>
      </c>
      <c r="Q796" s="1" t="s">
        <v>42</v>
      </c>
      <c r="S796" s="1" t="s">
        <v>42</v>
      </c>
      <c r="T796" s="1" t="s">
        <v>203</v>
      </c>
      <c r="U796" s="1">
        <v>181</v>
      </c>
      <c r="V796" s="5">
        <v>43670</v>
      </c>
      <c r="W796" s="5">
        <v>42355</v>
      </c>
      <c r="X796" s="1">
        <v>4950000</v>
      </c>
      <c r="Y796" s="1">
        <v>4950000</v>
      </c>
      <c r="Z796" s="5">
        <v>42536</v>
      </c>
      <c r="AA796" s="1">
        <v>4950000</v>
      </c>
      <c r="AB796" s="1" t="s">
        <v>608</v>
      </c>
      <c r="AC796" s="5">
        <v>42802</v>
      </c>
      <c r="AF796" s="1">
        <v>10014</v>
      </c>
      <c r="AI796" s="1" t="s">
        <v>86</v>
      </c>
      <c r="AJ796" s="1">
        <v>2015</v>
      </c>
      <c r="AK796" s="1" t="s">
        <v>87</v>
      </c>
      <c r="AL796" s="1">
        <v>38</v>
      </c>
    </row>
    <row r="797" spans="1:38" x14ac:dyDescent="0.2">
      <c r="A797" s="2" t="str">
        <f>HYPERLINK("https://www.compass.com/listing/200-east-21st-street-unit-6c-manhattan-ny-10010/104366069312918929/","200 E 21st St, Unit 6C")</f>
        <v>200 E 21st St, Unit 6C</v>
      </c>
      <c r="B797" s="2" t="str">
        <f>HYPERLINK("https://www.compass.com/building/200-east-21st-street-manhattan-ny/292796762689658005/","200 East 21st Street")</f>
        <v>200 East 21st Street</v>
      </c>
      <c r="C797" s="1" t="s">
        <v>101</v>
      </c>
      <c r="D797" s="1" t="s">
        <v>41</v>
      </c>
      <c r="E797" s="3">
        <v>2925000</v>
      </c>
      <c r="F797" s="1">
        <v>1913.01504251144</v>
      </c>
      <c r="G797" s="1">
        <v>4.5</v>
      </c>
      <c r="H797" s="1">
        <v>2</v>
      </c>
      <c r="I797" s="1">
        <v>3</v>
      </c>
      <c r="J797" s="1">
        <v>2.5</v>
      </c>
      <c r="K797" s="1">
        <v>2</v>
      </c>
      <c r="L797" s="1">
        <v>1</v>
      </c>
      <c r="M797" s="4">
        <v>1529</v>
      </c>
      <c r="N797" s="1">
        <v>1501</v>
      </c>
      <c r="O797" s="1">
        <v>4312</v>
      </c>
      <c r="P797" s="1">
        <v>2811</v>
      </c>
      <c r="Q797" s="1" t="s">
        <v>42</v>
      </c>
      <c r="S797" s="1" t="s">
        <v>42</v>
      </c>
      <c r="T797" s="1" t="s">
        <v>203</v>
      </c>
      <c r="V797" s="5">
        <v>43648</v>
      </c>
      <c r="W797" s="5">
        <v>43396</v>
      </c>
      <c r="X797" s="1">
        <v>2995000</v>
      </c>
      <c r="Y797" s="1">
        <v>2995000</v>
      </c>
      <c r="Z797" s="5">
        <v>43396</v>
      </c>
      <c r="AA797" s="1">
        <v>2925000</v>
      </c>
      <c r="AB797" s="1" t="s">
        <v>624</v>
      </c>
      <c r="AC797" s="5">
        <v>43591</v>
      </c>
      <c r="AF797" s="1">
        <v>10010</v>
      </c>
      <c r="AI797" s="1" t="s">
        <v>102</v>
      </c>
      <c r="AJ797" s="1">
        <v>2018</v>
      </c>
      <c r="AK797" s="1" t="s">
        <v>55</v>
      </c>
      <c r="AL797" s="1">
        <v>67</v>
      </c>
    </row>
    <row r="798" spans="1:38" x14ac:dyDescent="0.2">
      <c r="A798" s="2" t="str">
        <f>HYPERLINK("https://www.compass.com/listing/225-west-86th-street-unit-511a-manhattan-ny-10024/56410048078905793/","225 W 86th St, Unit 511A")</f>
        <v>225 W 86th St, Unit 511A</v>
      </c>
      <c r="B798" s="2" t="str">
        <f t="shared" ref="B798:B799" si="136">HYPERLINK("https://www.compass.com/building/the-belnord-manhattan-ny/292869672083214101/","The Belnord")</f>
        <v>The Belnord</v>
      </c>
      <c r="C798" s="1" t="s">
        <v>47</v>
      </c>
      <c r="D798" s="1" t="s">
        <v>41</v>
      </c>
      <c r="E798" s="3">
        <v>1728684</v>
      </c>
      <c r="F798" s="1">
        <v>1207.18156424581</v>
      </c>
      <c r="G798" s="1">
        <v>5</v>
      </c>
      <c r="H798" s="1">
        <v>2</v>
      </c>
      <c r="I798" s="1">
        <v>3</v>
      </c>
      <c r="J798" s="1">
        <v>2.5</v>
      </c>
      <c r="K798" s="1">
        <v>2</v>
      </c>
      <c r="L798" s="1">
        <v>1</v>
      </c>
      <c r="M798" s="4">
        <v>1432</v>
      </c>
      <c r="N798" s="1">
        <v>1225</v>
      </c>
      <c r="O798" s="1">
        <v>3136</v>
      </c>
      <c r="P798" s="1">
        <v>1911</v>
      </c>
      <c r="Q798" s="1" t="s">
        <v>42</v>
      </c>
      <c r="S798" s="1" t="s">
        <v>42</v>
      </c>
      <c r="T798" s="1" t="s">
        <v>203</v>
      </c>
      <c r="U798" s="1">
        <v>47</v>
      </c>
      <c r="V798" s="5">
        <v>43635</v>
      </c>
      <c r="W798" s="5">
        <v>43330</v>
      </c>
      <c r="X798" s="1">
        <v>3450000</v>
      </c>
      <c r="Y798" s="1">
        <v>3450000</v>
      </c>
      <c r="Z798" s="5">
        <v>43377</v>
      </c>
      <c r="AA798" s="1">
        <v>1728684</v>
      </c>
      <c r="AB798" s="1" t="s">
        <v>204</v>
      </c>
      <c r="AC798" s="5">
        <v>43565</v>
      </c>
      <c r="AF798" s="1">
        <v>10024</v>
      </c>
      <c r="AI798" s="1" t="s">
        <v>67</v>
      </c>
      <c r="AJ798" s="1">
        <v>1908</v>
      </c>
      <c r="AK798" s="1" t="s">
        <v>81</v>
      </c>
      <c r="AL798" s="1">
        <v>213</v>
      </c>
    </row>
    <row r="799" spans="1:38" x14ac:dyDescent="0.2">
      <c r="A799" s="2" t="str">
        <f>HYPERLINK("https://www.compass.com/listing/225-west-86th-street-unit-612a-manhattan-ny-10024/71600427585609409/","225 W 86th St, Unit 612A")</f>
        <v>225 W 86th St, Unit 612A</v>
      </c>
      <c r="B799" s="2" t="str">
        <f t="shared" si="136"/>
        <v>The Belnord</v>
      </c>
      <c r="C799" s="1" t="s">
        <v>47</v>
      </c>
      <c r="D799" s="1" t="s">
        <v>41</v>
      </c>
      <c r="E799" s="3">
        <v>1751200</v>
      </c>
      <c r="F799" s="1">
        <v>1231.5049226441599</v>
      </c>
      <c r="G799" s="1">
        <v>5</v>
      </c>
      <c r="H799" s="1">
        <v>2</v>
      </c>
      <c r="I799" s="1">
        <v>3</v>
      </c>
      <c r="J799" s="1">
        <v>2.5</v>
      </c>
      <c r="K799" s="1">
        <v>2</v>
      </c>
      <c r="L799" s="1">
        <v>1</v>
      </c>
      <c r="M799" s="4">
        <v>1422</v>
      </c>
      <c r="N799" s="1">
        <v>1222</v>
      </c>
      <c r="O799" s="1">
        <v>3128</v>
      </c>
      <c r="P799" s="1">
        <v>1906</v>
      </c>
      <c r="Q799" s="1" t="s">
        <v>42</v>
      </c>
      <c r="S799" s="1" t="s">
        <v>42</v>
      </c>
      <c r="T799" s="1" t="s">
        <v>203</v>
      </c>
      <c r="U799" s="1">
        <v>26</v>
      </c>
      <c r="V799" s="5">
        <v>43635</v>
      </c>
      <c r="W799" s="5">
        <v>43351</v>
      </c>
      <c r="X799" s="1">
        <v>3650000</v>
      </c>
      <c r="Y799" s="1">
        <v>3650000</v>
      </c>
      <c r="Z799" s="5">
        <v>43377</v>
      </c>
      <c r="AA799" s="1">
        <v>1751200</v>
      </c>
      <c r="AB799" s="1" t="s">
        <v>204</v>
      </c>
      <c r="AC799" s="5">
        <v>43561</v>
      </c>
      <c r="AF799" s="1">
        <v>10024</v>
      </c>
      <c r="AI799" s="1" t="s">
        <v>67</v>
      </c>
      <c r="AJ799" s="1">
        <v>1908</v>
      </c>
      <c r="AK799" s="1" t="s">
        <v>81</v>
      </c>
      <c r="AL799" s="1">
        <v>213</v>
      </c>
    </row>
    <row r="800" spans="1:38" x14ac:dyDescent="0.2">
      <c r="A800" s="2" t="str">
        <f>HYPERLINK("https://www.compass.com/listing/101-west-78th-street-unit-7a-manhattan-ny-10024/803318442744204913/","101 W 78th St, Unit 7A")</f>
        <v>101 W 78th St, Unit 7A</v>
      </c>
      <c r="B800" s="2" t="str">
        <f>HYPERLINK("https://www.compass.com/building/101-w-78th-st-manhattan-ny-10024/281961405798754085/","101 W 78th St")</f>
        <v>101 W 78th St</v>
      </c>
      <c r="C800" s="1" t="s">
        <v>47</v>
      </c>
      <c r="D800" s="1" t="s">
        <v>41</v>
      </c>
      <c r="E800" s="3">
        <v>4595000</v>
      </c>
      <c r="F800" s="1">
        <v>2508.1877729257599</v>
      </c>
      <c r="G800" s="1">
        <v>3</v>
      </c>
      <c r="H800" s="1">
        <v>2</v>
      </c>
      <c r="I800" s="1">
        <v>3</v>
      </c>
      <c r="J800" s="1">
        <v>2.5</v>
      </c>
      <c r="M800" s="4">
        <v>1832</v>
      </c>
      <c r="N800" s="1">
        <v>2643</v>
      </c>
      <c r="O800" s="1">
        <v>4349</v>
      </c>
      <c r="P800" s="1">
        <v>1706</v>
      </c>
      <c r="Q800" s="1" t="s">
        <v>42</v>
      </c>
      <c r="S800" s="1" t="s">
        <v>42</v>
      </c>
      <c r="T800" s="1" t="s">
        <v>203</v>
      </c>
      <c r="V800" s="5">
        <v>43208</v>
      </c>
      <c r="AA800" s="1">
        <v>4595000</v>
      </c>
      <c r="AB800" s="1" t="s">
        <v>625</v>
      </c>
      <c r="AC800" s="5">
        <v>43138</v>
      </c>
      <c r="AF800" s="1">
        <v>10024</v>
      </c>
      <c r="AJ800" s="1">
        <v>1886</v>
      </c>
      <c r="AK800" s="1" t="s">
        <v>428</v>
      </c>
      <c r="AL800" s="1">
        <v>21</v>
      </c>
    </row>
    <row r="801" spans="1:38" x14ac:dyDescent="0.2">
      <c r="A801" s="2" t="str">
        <f>HYPERLINK("https://www.compass.com/listing/200-east-21st-street-unit-7b-manhattan-ny-10010/95578134514034641/","200 E 21st St, Unit 7B")</f>
        <v>200 E 21st St, Unit 7B</v>
      </c>
      <c r="B801" s="2" t="str">
        <f t="shared" ref="B801:B802" si="137">HYPERLINK("https://www.compass.com/building/200-east-21st-street-manhattan-ny/292796762689658005/","200 East 21st Street")</f>
        <v>200 East 21st Street</v>
      </c>
      <c r="C801" s="1" t="s">
        <v>101</v>
      </c>
      <c r="D801" s="1" t="s">
        <v>41</v>
      </c>
      <c r="E801" s="3">
        <v>1608835</v>
      </c>
      <c r="F801" s="1">
        <v>2083.9831606217599</v>
      </c>
      <c r="G801" s="1">
        <v>2</v>
      </c>
      <c r="H801" s="1">
        <v>1</v>
      </c>
      <c r="I801" s="1">
        <v>1</v>
      </c>
      <c r="J801" s="1">
        <v>1</v>
      </c>
      <c r="K801" s="1">
        <v>1</v>
      </c>
      <c r="M801" s="1">
        <v>772</v>
      </c>
      <c r="N801" s="1">
        <v>758</v>
      </c>
      <c r="O801" s="1">
        <v>2177</v>
      </c>
      <c r="P801" s="1">
        <v>1419</v>
      </c>
      <c r="Q801" s="1" t="s">
        <v>42</v>
      </c>
      <c r="S801" s="1" t="s">
        <v>42</v>
      </c>
      <c r="T801" s="1" t="s">
        <v>203</v>
      </c>
      <c r="U801" s="1">
        <v>428</v>
      </c>
      <c r="V801" s="5">
        <v>44397</v>
      </c>
      <c r="W801" s="5">
        <v>42955</v>
      </c>
      <c r="X801" s="1">
        <v>1580000</v>
      </c>
      <c r="Y801" s="1">
        <v>1580000</v>
      </c>
      <c r="Z801" s="5">
        <v>43384</v>
      </c>
      <c r="AA801" s="1">
        <v>1608835</v>
      </c>
      <c r="AB801" s="1" t="s">
        <v>626</v>
      </c>
      <c r="AC801" s="5">
        <v>43656</v>
      </c>
      <c r="AF801" s="1">
        <v>10010</v>
      </c>
      <c r="AI801" s="1" t="s">
        <v>614</v>
      </c>
      <c r="AJ801" s="1">
        <v>2018</v>
      </c>
      <c r="AK801" s="1" t="s">
        <v>59</v>
      </c>
      <c r="AL801" s="1">
        <v>67</v>
      </c>
    </row>
    <row r="802" spans="1:38" x14ac:dyDescent="0.2">
      <c r="A802" s="2" t="str">
        <f>HYPERLINK("https://www.compass.com/listing/200-east-21st-street-unit-9c-manhattan-ny-10010/29669132391765265/","200 E 21st St, Unit 9C")</f>
        <v>200 E 21st St, Unit 9C</v>
      </c>
      <c r="B802" s="2" t="str">
        <f t="shared" si="137"/>
        <v>200 East 21st Street</v>
      </c>
      <c r="C802" s="1" t="s">
        <v>101</v>
      </c>
      <c r="D802" s="1" t="s">
        <v>41</v>
      </c>
      <c r="E802" s="3">
        <v>3946357</v>
      </c>
      <c r="F802" s="1">
        <v>2164.75955019199</v>
      </c>
      <c r="G802" s="1">
        <v>6</v>
      </c>
      <c r="H802" s="1">
        <v>3</v>
      </c>
      <c r="I802" s="1">
        <v>4</v>
      </c>
      <c r="J802" s="1">
        <v>3.5</v>
      </c>
      <c r="K802" s="1">
        <v>3</v>
      </c>
      <c r="L802" s="1">
        <v>1</v>
      </c>
      <c r="M802" s="4">
        <v>1823</v>
      </c>
      <c r="N802" s="1">
        <v>1812</v>
      </c>
      <c r="O802" s="1">
        <v>5205</v>
      </c>
      <c r="P802" s="1">
        <v>3393</v>
      </c>
      <c r="Q802" s="1" t="s">
        <v>42</v>
      </c>
      <c r="S802" s="1" t="s">
        <v>42</v>
      </c>
      <c r="T802" s="1" t="s">
        <v>203</v>
      </c>
      <c r="U802" s="1">
        <v>117</v>
      </c>
      <c r="V802" s="5">
        <v>43644</v>
      </c>
      <c r="W802" s="5">
        <v>43293</v>
      </c>
      <c r="X802" s="1">
        <v>3975000</v>
      </c>
      <c r="Y802" s="1">
        <v>3975000</v>
      </c>
      <c r="Z802" s="5">
        <v>43410</v>
      </c>
      <c r="AA802" s="1">
        <v>3946356.66</v>
      </c>
      <c r="AB802" s="1" t="s">
        <v>627</v>
      </c>
      <c r="AC802" s="5">
        <v>43595</v>
      </c>
      <c r="AF802" s="1">
        <v>10010</v>
      </c>
      <c r="AI802" s="1" t="s">
        <v>102</v>
      </c>
      <c r="AJ802" s="1">
        <v>2018</v>
      </c>
      <c r="AK802" s="1" t="s">
        <v>55</v>
      </c>
      <c r="AL802" s="1">
        <v>67</v>
      </c>
    </row>
    <row r="803" spans="1:38" x14ac:dyDescent="0.2">
      <c r="A803" s="2" t="str">
        <f>HYPERLINK("https://www.compass.com/listing/421-west-22nd-street-unit-one-manhattan-ny-10011/29370277091611137/","421 W 22nd St, Unit ONE")</f>
        <v>421 W 22nd St, Unit ONE</v>
      </c>
      <c r="B803" s="2" t="str">
        <f>HYPERLINK("https://www.compass.com/building/421-w-22nd-st-manhattan-ny-10011/281910201349594997/","421 W 22nd St")</f>
        <v>421 W 22nd St</v>
      </c>
      <c r="C803" s="1" t="s">
        <v>62</v>
      </c>
      <c r="D803" s="1" t="s">
        <v>41</v>
      </c>
      <c r="E803" s="3">
        <v>3485000</v>
      </c>
      <c r="F803" s="1">
        <v>1902.29257641921</v>
      </c>
      <c r="G803" s="1">
        <v>5</v>
      </c>
      <c r="H803" s="1">
        <v>3</v>
      </c>
      <c r="I803" s="1">
        <v>2</v>
      </c>
      <c r="J803" s="1">
        <v>2</v>
      </c>
      <c r="K803" s="1">
        <v>2</v>
      </c>
      <c r="M803" s="4">
        <v>1832</v>
      </c>
      <c r="N803" s="1">
        <v>1202</v>
      </c>
      <c r="O803" s="1">
        <v>2363</v>
      </c>
      <c r="P803" s="1">
        <v>1161</v>
      </c>
      <c r="Q803" s="1" t="s">
        <v>335</v>
      </c>
      <c r="S803" s="1" t="s">
        <v>336</v>
      </c>
      <c r="T803" s="1" t="s">
        <v>203</v>
      </c>
      <c r="U803" s="1">
        <v>42</v>
      </c>
      <c r="V803" s="5">
        <v>43650</v>
      </c>
      <c r="W803" s="5">
        <v>43007</v>
      </c>
      <c r="X803" s="1">
        <v>3499000</v>
      </c>
      <c r="Y803" s="1">
        <v>3499000</v>
      </c>
      <c r="Z803" s="5">
        <v>43049</v>
      </c>
      <c r="AA803" s="1">
        <v>3485000</v>
      </c>
      <c r="AB803" s="1" t="s">
        <v>628</v>
      </c>
      <c r="AC803" s="5">
        <v>43090</v>
      </c>
      <c r="AF803" s="1">
        <v>10011</v>
      </c>
      <c r="AI803" s="1" t="s">
        <v>629</v>
      </c>
      <c r="AJ803" s="1">
        <v>1900</v>
      </c>
      <c r="AL803" s="1">
        <v>8</v>
      </c>
    </row>
    <row r="804" spans="1:38" x14ac:dyDescent="0.2">
      <c r="A804" s="2" t="str">
        <f>HYPERLINK("https://www.compass.com/listing/275-west-10th-street-unit-6c-manhattan-ny-10014/29368594169131297/","275 W 10th St, Unit 6C")</f>
        <v>275 W 10th St, Unit 6C</v>
      </c>
      <c r="B804" s="2" t="str">
        <f>HYPERLINK("https://www.compass.com/building/the-shephard-manhattan-ny/281931968864632917/","The Shephard")</f>
        <v>The Shephard</v>
      </c>
      <c r="C804" s="1" t="s">
        <v>68</v>
      </c>
      <c r="D804" s="1" t="s">
        <v>41</v>
      </c>
      <c r="E804" s="3">
        <v>5850000</v>
      </c>
      <c r="F804" s="1">
        <v>2795.0310559006198</v>
      </c>
      <c r="G804" s="1">
        <v>4</v>
      </c>
      <c r="H804" s="1">
        <v>2</v>
      </c>
      <c r="I804" s="1">
        <v>3</v>
      </c>
      <c r="J804" s="1">
        <v>0.5</v>
      </c>
      <c r="L804" s="1">
        <v>1</v>
      </c>
      <c r="M804" s="4">
        <v>2093</v>
      </c>
      <c r="N804" s="1">
        <v>1929</v>
      </c>
      <c r="O804" s="1">
        <v>4455</v>
      </c>
      <c r="P804" s="1">
        <v>2526</v>
      </c>
      <c r="Q804" s="1" t="s">
        <v>42</v>
      </c>
      <c r="S804" s="1" t="s">
        <v>42</v>
      </c>
      <c r="T804" s="1" t="s">
        <v>203</v>
      </c>
      <c r="U804" s="1">
        <v>76</v>
      </c>
      <c r="V804" s="5">
        <v>43670</v>
      </c>
      <c r="W804" s="5">
        <v>42273</v>
      </c>
      <c r="X804" s="1">
        <v>5850000</v>
      </c>
      <c r="Y804" s="1">
        <v>5850000</v>
      </c>
      <c r="Z804" s="5">
        <v>42349</v>
      </c>
      <c r="AA804" s="1">
        <v>5850000</v>
      </c>
      <c r="AB804" s="1" t="s">
        <v>622</v>
      </c>
      <c r="AC804" s="5">
        <v>42794</v>
      </c>
      <c r="AF804" s="1">
        <v>10014</v>
      </c>
      <c r="AI804" s="1" t="s">
        <v>86</v>
      </c>
      <c r="AJ804" s="1">
        <v>2015</v>
      </c>
      <c r="AK804" s="1" t="s">
        <v>87</v>
      </c>
      <c r="AL804" s="1">
        <v>38</v>
      </c>
    </row>
    <row r="805" spans="1:38" x14ac:dyDescent="0.2">
      <c r="A805" s="2" t="str">
        <f>HYPERLINK("https://www.compass.com/listing/101-west-78th-street-unit-7a-manhattan-ny-10024/783238875206700953/","101 W 78th St, Unit 7A")</f>
        <v>101 W 78th St, Unit 7A</v>
      </c>
      <c r="B805" s="2" t="str">
        <f>HYPERLINK("https://www.compass.com/building/101-w-78th-st-manhattan-ny-10024/281961405798754085/","101 W 78th St")</f>
        <v>101 W 78th St</v>
      </c>
      <c r="C805" s="1" t="s">
        <v>47</v>
      </c>
      <c r="D805" s="1" t="s">
        <v>41</v>
      </c>
      <c r="E805" s="3">
        <v>4595000</v>
      </c>
      <c r="F805" s="1">
        <v>2508.1877729257599</v>
      </c>
      <c r="G805" s="1">
        <v>3</v>
      </c>
      <c r="H805" s="1">
        <v>2</v>
      </c>
      <c r="I805" s="1">
        <v>3</v>
      </c>
      <c r="J805" s="1">
        <v>2.5</v>
      </c>
      <c r="M805" s="4">
        <v>1832</v>
      </c>
      <c r="N805" s="1">
        <v>2608</v>
      </c>
      <c r="O805" s="1">
        <v>4114</v>
      </c>
      <c r="P805" s="1">
        <v>1506</v>
      </c>
      <c r="Q805" s="1" t="s">
        <v>42</v>
      </c>
      <c r="S805" s="1" t="s">
        <v>42</v>
      </c>
      <c r="T805" s="1" t="s">
        <v>203</v>
      </c>
      <c r="U805" s="1">
        <v>1</v>
      </c>
      <c r="V805" s="5">
        <v>43140</v>
      </c>
      <c r="W805" s="5">
        <v>42810</v>
      </c>
      <c r="X805" s="1">
        <v>4750000</v>
      </c>
      <c r="Y805" s="1">
        <v>4750000</v>
      </c>
      <c r="Z805" s="5">
        <v>42812</v>
      </c>
      <c r="AA805" s="1">
        <v>4595000</v>
      </c>
      <c r="AB805" s="1" t="s">
        <v>625</v>
      </c>
      <c r="AC805" s="5">
        <v>43138</v>
      </c>
      <c r="AF805" s="1">
        <v>10024</v>
      </c>
      <c r="AJ805" s="1">
        <v>1886</v>
      </c>
      <c r="AK805" s="1" t="s">
        <v>537</v>
      </c>
      <c r="AL805" s="1">
        <v>21</v>
      </c>
    </row>
    <row r="806" spans="1:38" x14ac:dyDescent="0.2">
      <c r="A806" s="2" t="str">
        <f>HYPERLINK("https://www.compass.com/listing/275-west-10th-street-unit-mais-b-manhattan-ny-10014/4866182162228969825/","275 W 10th St, Unit MAIS-B")</f>
        <v>275 W 10th St, Unit MAIS-B</v>
      </c>
      <c r="B806" s="2" t="str">
        <f>HYPERLINK("https://www.compass.com/building/the-shephard-manhattan-ny/281931968864632917/","The Shephard")</f>
        <v>The Shephard</v>
      </c>
      <c r="C806" s="1" t="s">
        <v>68</v>
      </c>
      <c r="D806" s="1" t="s">
        <v>41</v>
      </c>
      <c r="E806" s="3">
        <v>4775000</v>
      </c>
      <c r="F806" s="1">
        <v>2556.20985010706</v>
      </c>
      <c r="G806" s="1">
        <v>4</v>
      </c>
      <c r="H806" s="1">
        <v>2</v>
      </c>
      <c r="I806" s="1">
        <v>3</v>
      </c>
      <c r="J806" s="1">
        <v>2.5</v>
      </c>
      <c r="M806" s="4">
        <v>1868</v>
      </c>
      <c r="N806" s="1">
        <v>1722</v>
      </c>
      <c r="O806" s="1">
        <v>3977</v>
      </c>
      <c r="P806" s="1">
        <v>2255</v>
      </c>
      <c r="Q806" s="1" t="s">
        <v>42</v>
      </c>
      <c r="S806" s="1" t="s">
        <v>42</v>
      </c>
      <c r="T806" s="1" t="s">
        <v>203</v>
      </c>
      <c r="V806" s="5">
        <v>43649</v>
      </c>
      <c r="W806" s="5">
        <v>42291</v>
      </c>
      <c r="X806" s="1">
        <v>4775000</v>
      </c>
      <c r="Y806" s="1">
        <v>4775000</v>
      </c>
      <c r="Z806" s="5">
        <v>42291</v>
      </c>
      <c r="AA806" s="1">
        <v>4775000</v>
      </c>
      <c r="AB806" s="1" t="s">
        <v>204</v>
      </c>
      <c r="AC806" s="5">
        <v>43070</v>
      </c>
      <c r="AF806" s="1">
        <v>10014</v>
      </c>
      <c r="AI806" s="1" t="s">
        <v>67</v>
      </c>
      <c r="AJ806" s="1">
        <v>2015</v>
      </c>
      <c r="AK806" s="1" t="s">
        <v>50</v>
      </c>
      <c r="AL806" s="1">
        <v>38</v>
      </c>
    </row>
    <row r="807" spans="1:38" x14ac:dyDescent="0.2">
      <c r="A807" s="2" t="str">
        <f>HYPERLINK("https://www.compass.com/listing/150-east-23rd-street-unit-4b-manhattan-ny-10010/122395326135984689/","150 E 23rd St, Unit 4B")</f>
        <v>150 E 23rd St, Unit 4B</v>
      </c>
      <c r="B807" s="2" t="str">
        <f t="shared" ref="B807:B813" si="138">HYPERLINK("https://www.compass.com/building/celeste-gramercy-manhattan-ny/292795972759607813/","Celeste Gramercy")</f>
        <v>Celeste Gramercy</v>
      </c>
      <c r="C807" s="1" t="s">
        <v>101</v>
      </c>
      <c r="D807" s="1" t="s">
        <v>41</v>
      </c>
      <c r="E807" s="3">
        <v>1095000</v>
      </c>
      <c r="F807" s="1">
        <v>1695.0464396284799</v>
      </c>
      <c r="G807" s="1">
        <v>3</v>
      </c>
      <c r="H807" s="1">
        <v>1</v>
      </c>
      <c r="I807" s="1">
        <v>1</v>
      </c>
      <c r="J807" s="1">
        <v>1</v>
      </c>
      <c r="K807" s="1">
        <v>1</v>
      </c>
      <c r="M807" s="1">
        <v>646</v>
      </c>
      <c r="N807" s="1">
        <v>854</v>
      </c>
      <c r="O807" s="1">
        <v>1473</v>
      </c>
      <c r="P807" s="1">
        <v>619</v>
      </c>
      <c r="Q807" s="1" t="s">
        <v>42</v>
      </c>
      <c r="S807" s="1" t="s">
        <v>42</v>
      </c>
      <c r="T807" s="1" t="s">
        <v>203</v>
      </c>
      <c r="U807" s="1">
        <v>89</v>
      </c>
      <c r="V807" s="5">
        <v>44298</v>
      </c>
      <c r="W807" s="5">
        <v>43990</v>
      </c>
      <c r="X807" s="1">
        <v>1195000</v>
      </c>
      <c r="Y807" s="1">
        <v>1195000</v>
      </c>
      <c r="Z807" s="5">
        <v>44094</v>
      </c>
      <c r="AA807" s="1">
        <v>1095000</v>
      </c>
      <c r="AB807" s="1" t="s">
        <v>630</v>
      </c>
      <c r="AC807" s="5">
        <v>44294</v>
      </c>
      <c r="AF807" s="1">
        <v>10010</v>
      </c>
      <c r="AI807" s="1" t="s">
        <v>115</v>
      </c>
      <c r="AJ807" s="1">
        <v>2018</v>
      </c>
      <c r="AK807" s="1" t="s">
        <v>50</v>
      </c>
      <c r="AL807" s="1">
        <v>51</v>
      </c>
    </row>
    <row r="808" spans="1:38" x14ac:dyDescent="0.2">
      <c r="A808" s="2" t="str">
        <f>HYPERLINK("https://www.compass.com/listing/150-east-23rd-street-unit-5b-manhattan-ny-10010/195706580837104801/","150 E 23rd St, Unit 5B")</f>
        <v>150 E 23rd St, Unit 5B</v>
      </c>
      <c r="B808" s="2" t="str">
        <f t="shared" si="138"/>
        <v>Celeste Gramercy</v>
      </c>
      <c r="C808" s="1" t="s">
        <v>101</v>
      </c>
      <c r="D808" s="1" t="s">
        <v>41</v>
      </c>
      <c r="E808" s="3">
        <v>1150000</v>
      </c>
      <c r="F808" s="1">
        <v>1780.1857585139301</v>
      </c>
      <c r="G808" s="1">
        <v>3</v>
      </c>
      <c r="H808" s="1">
        <v>1</v>
      </c>
      <c r="I808" s="1">
        <v>1</v>
      </c>
      <c r="J808" s="1">
        <v>1</v>
      </c>
      <c r="K808" s="1">
        <v>1</v>
      </c>
      <c r="M808" s="1">
        <v>646</v>
      </c>
      <c r="N808" s="1">
        <v>858</v>
      </c>
      <c r="O808" s="1">
        <v>1660</v>
      </c>
      <c r="P808" s="1">
        <v>802</v>
      </c>
      <c r="Q808" s="1" t="s">
        <v>42</v>
      </c>
      <c r="S808" s="1" t="s">
        <v>42</v>
      </c>
      <c r="T808" s="1" t="s">
        <v>203</v>
      </c>
      <c r="U808" s="1">
        <v>144</v>
      </c>
      <c r="V808" s="5">
        <v>44343</v>
      </c>
      <c r="W808" s="5">
        <v>43943</v>
      </c>
      <c r="X808" s="1">
        <v>1295000</v>
      </c>
      <c r="Y808" s="1">
        <v>1245000</v>
      </c>
      <c r="Z808" s="5">
        <v>44149</v>
      </c>
      <c r="AA808" s="1">
        <v>1150000</v>
      </c>
      <c r="AB808" s="1" t="s">
        <v>631</v>
      </c>
      <c r="AC808" s="5">
        <v>44337</v>
      </c>
      <c r="AF808" s="1">
        <v>10010</v>
      </c>
      <c r="AI808" s="1" t="s">
        <v>45</v>
      </c>
      <c r="AJ808" s="1">
        <v>2018</v>
      </c>
      <c r="AK808" s="1" t="s">
        <v>50</v>
      </c>
      <c r="AL808" s="1">
        <v>51</v>
      </c>
    </row>
    <row r="809" spans="1:38" x14ac:dyDescent="0.2">
      <c r="A809" s="2" t="str">
        <f>HYPERLINK("https://www.compass.com/listing/150-east-23rd-street-unit-10d-manhattan-ny-10010/349897103450721233/","150 E 23rd St, Unit 10D")</f>
        <v>150 E 23rd St, Unit 10D</v>
      </c>
      <c r="B809" s="2" t="str">
        <f t="shared" si="138"/>
        <v>Celeste Gramercy</v>
      </c>
      <c r="C809" s="1" t="s">
        <v>101</v>
      </c>
      <c r="D809" s="1" t="s">
        <v>41</v>
      </c>
      <c r="E809" s="3">
        <v>2525000</v>
      </c>
      <c r="F809" s="1">
        <v>1939.3241167434701</v>
      </c>
      <c r="G809" s="1">
        <v>4</v>
      </c>
      <c r="H809" s="1">
        <v>2</v>
      </c>
      <c r="I809" s="1">
        <v>3</v>
      </c>
      <c r="J809" s="1">
        <v>2.5</v>
      </c>
      <c r="K809" s="1">
        <v>2</v>
      </c>
      <c r="L809" s="1">
        <v>1</v>
      </c>
      <c r="M809" s="4">
        <v>1302</v>
      </c>
      <c r="N809" s="1">
        <v>1791</v>
      </c>
      <c r="O809" s="1">
        <v>3469</v>
      </c>
      <c r="P809" s="1">
        <v>1678</v>
      </c>
      <c r="Q809" s="1" t="s">
        <v>42</v>
      </c>
      <c r="S809" s="1" t="s">
        <v>42</v>
      </c>
      <c r="T809" s="1" t="s">
        <v>203</v>
      </c>
      <c r="U809" s="1">
        <v>176</v>
      </c>
      <c r="V809" s="5">
        <v>44408</v>
      </c>
      <c r="W809" s="5">
        <v>44156</v>
      </c>
      <c r="Y809" s="1">
        <v>2525000</v>
      </c>
      <c r="Z809" s="5">
        <v>44333</v>
      </c>
      <c r="AA809" s="1">
        <v>2525000</v>
      </c>
      <c r="AB809" s="1" t="s">
        <v>204</v>
      </c>
      <c r="AC809" s="5">
        <v>44407</v>
      </c>
      <c r="AF809" s="1">
        <v>10010</v>
      </c>
      <c r="AI809" s="1" t="s">
        <v>45</v>
      </c>
      <c r="AJ809" s="1">
        <v>2018</v>
      </c>
      <c r="AK809" s="1" t="s">
        <v>81</v>
      </c>
      <c r="AL809" s="1">
        <v>51</v>
      </c>
    </row>
    <row r="810" spans="1:38" x14ac:dyDescent="0.2">
      <c r="A810" s="2" t="str">
        <f>HYPERLINK("https://www.compass.com/listing/150-east-23rd-street-unit-7d-manhattan-ny-10010/239026220291850913/","150 E 23rd St, Unit 7D")</f>
        <v>150 E 23rd St, Unit 7D</v>
      </c>
      <c r="B810" s="2" t="str">
        <f t="shared" si="138"/>
        <v>Celeste Gramercy</v>
      </c>
      <c r="C810" s="1" t="s">
        <v>101</v>
      </c>
      <c r="D810" s="1" t="s">
        <v>41</v>
      </c>
      <c r="E810" s="3">
        <v>2319574</v>
      </c>
      <c r="F810" s="1">
        <v>1781.5464669738799</v>
      </c>
      <c r="G810" s="1">
        <v>4</v>
      </c>
      <c r="H810" s="1">
        <v>2</v>
      </c>
      <c r="I810" s="1">
        <v>3</v>
      </c>
      <c r="J810" s="1">
        <v>2.5</v>
      </c>
      <c r="K810" s="1">
        <v>2</v>
      </c>
      <c r="L810" s="1">
        <v>1</v>
      </c>
      <c r="M810" s="4">
        <v>1302</v>
      </c>
      <c r="N810" s="1">
        <v>1768</v>
      </c>
      <c r="O810" s="1">
        <v>3425</v>
      </c>
      <c r="P810" s="1">
        <v>1657</v>
      </c>
      <c r="Q810" s="1" t="s">
        <v>42</v>
      </c>
      <c r="S810" s="1" t="s">
        <v>42</v>
      </c>
      <c r="T810" s="1" t="s">
        <v>203</v>
      </c>
      <c r="U810" s="1">
        <v>161</v>
      </c>
      <c r="V810" s="5">
        <v>44414</v>
      </c>
      <c r="W810" s="5">
        <v>44118</v>
      </c>
      <c r="Y810" s="1">
        <v>2425000</v>
      </c>
      <c r="Z810" s="5">
        <v>44279</v>
      </c>
      <c r="AA810" s="1">
        <v>2319573.5</v>
      </c>
      <c r="AB810" s="1" t="s">
        <v>632</v>
      </c>
      <c r="AC810" s="5">
        <v>44413</v>
      </c>
      <c r="AF810" s="1">
        <v>10010</v>
      </c>
      <c r="AI810" s="1" t="s">
        <v>45</v>
      </c>
      <c r="AJ810" s="1">
        <v>2018</v>
      </c>
      <c r="AK810" s="1" t="s">
        <v>81</v>
      </c>
      <c r="AL810" s="1">
        <v>51</v>
      </c>
    </row>
    <row r="811" spans="1:38" x14ac:dyDescent="0.2">
      <c r="A811" s="2" t="str">
        <f>HYPERLINK("https://www.compass.com/listing/150-east-23rd-street-unit-4d-manhattan-ny-10010/239022098314486881/","150 E 23rd St, Unit 4D")</f>
        <v>150 E 23rd St, Unit 4D</v>
      </c>
      <c r="B811" s="2" t="str">
        <f t="shared" si="138"/>
        <v>Celeste Gramercy</v>
      </c>
      <c r="C811" s="1" t="s">
        <v>101</v>
      </c>
      <c r="D811" s="1" t="s">
        <v>41</v>
      </c>
      <c r="E811" s="3">
        <v>2269679</v>
      </c>
      <c r="F811" s="1">
        <v>1743.2252304147401</v>
      </c>
      <c r="G811" s="1">
        <v>4</v>
      </c>
      <c r="H811" s="1">
        <v>2</v>
      </c>
      <c r="I811" s="1">
        <v>3</v>
      </c>
      <c r="J811" s="1">
        <v>2.5</v>
      </c>
      <c r="K811" s="1">
        <v>2</v>
      </c>
      <c r="L811" s="1">
        <v>1</v>
      </c>
      <c r="M811" s="4">
        <v>1302</v>
      </c>
      <c r="N811" s="1">
        <v>1754</v>
      </c>
      <c r="O811" s="1">
        <v>3026</v>
      </c>
      <c r="P811" s="1">
        <v>1272</v>
      </c>
      <c r="Q811" s="1" t="s">
        <v>42</v>
      </c>
      <c r="S811" s="1" t="s">
        <v>42</v>
      </c>
      <c r="T811" s="1" t="s">
        <v>203</v>
      </c>
      <c r="U811" s="1">
        <v>288</v>
      </c>
      <c r="V811" s="5">
        <v>44290</v>
      </c>
      <c r="W811" s="5">
        <v>43581</v>
      </c>
      <c r="X811" s="1">
        <v>2200000</v>
      </c>
      <c r="Y811" s="1">
        <v>2350000</v>
      </c>
      <c r="Z811" s="5">
        <v>43870</v>
      </c>
      <c r="AA811" s="1">
        <v>2269679.25</v>
      </c>
      <c r="AB811" s="1" t="s">
        <v>633</v>
      </c>
      <c r="AC811" s="5">
        <v>44286</v>
      </c>
      <c r="AF811" s="1">
        <v>10010</v>
      </c>
      <c r="AI811" s="1" t="s">
        <v>45</v>
      </c>
      <c r="AJ811" s="1">
        <v>2018</v>
      </c>
      <c r="AK811" s="1" t="s">
        <v>81</v>
      </c>
      <c r="AL811" s="1">
        <v>51</v>
      </c>
    </row>
    <row r="812" spans="1:38" x14ac:dyDescent="0.2">
      <c r="A812" s="2" t="str">
        <f>HYPERLINK("https://www.compass.com/listing/150-east-23rd-street-unit-8d-manhattan-ny-10010/389188703558478545/","150 E 23rd St, Unit 8D")</f>
        <v>150 E 23rd St, Unit 8D</v>
      </c>
      <c r="B812" s="2" t="str">
        <f t="shared" si="138"/>
        <v>Celeste Gramercy</v>
      </c>
      <c r="C812" s="1" t="s">
        <v>101</v>
      </c>
      <c r="D812" s="1" t="s">
        <v>41</v>
      </c>
      <c r="E812" s="3">
        <v>2228000</v>
      </c>
      <c r="F812" s="1">
        <v>1711.21351766513</v>
      </c>
      <c r="G812" s="1">
        <v>4</v>
      </c>
      <c r="H812" s="1">
        <v>2</v>
      </c>
      <c r="I812" s="1">
        <v>3</v>
      </c>
      <c r="J812" s="1">
        <v>2.5</v>
      </c>
      <c r="K812" s="1">
        <v>2</v>
      </c>
      <c r="L812" s="1">
        <v>1</v>
      </c>
      <c r="M812" s="4">
        <v>1302</v>
      </c>
      <c r="N812" s="1">
        <v>1777</v>
      </c>
      <c r="O812" s="1">
        <v>3066</v>
      </c>
      <c r="P812" s="1">
        <v>1289</v>
      </c>
      <c r="Q812" s="1" t="s">
        <v>42</v>
      </c>
      <c r="S812" s="1" t="s">
        <v>42</v>
      </c>
      <c r="T812" s="1" t="s">
        <v>203</v>
      </c>
      <c r="V812" s="5">
        <v>44290</v>
      </c>
      <c r="W812" s="5">
        <v>43788</v>
      </c>
      <c r="Y812" s="1">
        <v>2400000</v>
      </c>
      <c r="Z812" s="5">
        <v>43788</v>
      </c>
      <c r="AA812" s="1">
        <v>2228000</v>
      </c>
      <c r="AB812" s="1" t="s">
        <v>634</v>
      </c>
      <c r="AC812" s="5">
        <v>44287</v>
      </c>
      <c r="AF812" s="1">
        <v>10010</v>
      </c>
      <c r="AI812" s="1" t="s">
        <v>45</v>
      </c>
      <c r="AJ812" s="1">
        <v>2018</v>
      </c>
      <c r="AK812" s="1" t="s">
        <v>50</v>
      </c>
      <c r="AL812" s="1">
        <v>51</v>
      </c>
    </row>
    <row r="813" spans="1:38" x14ac:dyDescent="0.2">
      <c r="A813" s="2" t="str">
        <f>HYPERLINK("https://www.compass.com/listing/150-east-23rd-street-unit-6d-manhattan-ny-10010/437697172079939777/","150 E 23rd St, Unit 6D")</f>
        <v>150 E 23rd St, Unit 6D</v>
      </c>
      <c r="B813" s="2" t="str">
        <f t="shared" si="138"/>
        <v>Celeste Gramercy</v>
      </c>
      <c r="C813" s="1" t="s">
        <v>101</v>
      </c>
      <c r="D813" s="1" t="s">
        <v>41</v>
      </c>
      <c r="E813" s="3">
        <v>2350000</v>
      </c>
      <c r="F813" s="1">
        <v>1804.9155145929301</v>
      </c>
      <c r="G813" s="1">
        <v>3</v>
      </c>
      <c r="H813" s="1">
        <v>2</v>
      </c>
      <c r="I813" s="1">
        <v>3</v>
      </c>
      <c r="J813" s="1">
        <v>2.5</v>
      </c>
      <c r="K813" s="1">
        <v>2</v>
      </c>
      <c r="L813" s="1">
        <v>1</v>
      </c>
      <c r="M813" s="4">
        <v>1302</v>
      </c>
      <c r="N813" s="1">
        <v>1765</v>
      </c>
      <c r="O813" s="1">
        <v>3045</v>
      </c>
      <c r="P813" s="1">
        <v>1280</v>
      </c>
      <c r="Q813" s="1" t="s">
        <v>42</v>
      </c>
      <c r="S813" s="1" t="s">
        <v>42</v>
      </c>
      <c r="T813" s="1" t="s">
        <v>203</v>
      </c>
      <c r="V813" s="5">
        <v>44298</v>
      </c>
      <c r="W813" s="5">
        <v>43855</v>
      </c>
      <c r="Y813" s="1">
        <v>2400000</v>
      </c>
      <c r="Z813" s="5">
        <v>43855</v>
      </c>
      <c r="AA813" s="1">
        <v>2350000</v>
      </c>
      <c r="AB813" s="1" t="s">
        <v>635</v>
      </c>
      <c r="AC813" s="5">
        <v>44294</v>
      </c>
      <c r="AF813" s="1">
        <v>10010</v>
      </c>
      <c r="AI813" s="1" t="s">
        <v>45</v>
      </c>
      <c r="AJ813" s="1">
        <v>2018</v>
      </c>
      <c r="AK813" s="1" t="s">
        <v>50</v>
      </c>
      <c r="AL813" s="1">
        <v>51</v>
      </c>
    </row>
    <row r="814" spans="1:38" x14ac:dyDescent="0.2">
      <c r="A814" s="2" t="str">
        <f>HYPERLINK("https://www.compass.com/listing/200-east-21st-street-unit-8b-manhattan-ny-10010/100621181681405473/","200 E 21st St, Unit 8B")</f>
        <v>200 E 21st St, Unit 8B</v>
      </c>
      <c r="B814" s="2" t="str">
        <f t="shared" ref="B814:B822" si="139">HYPERLINK("https://www.compass.com/building/200-east-21st-street-manhattan-ny/292796762689658005/","200 East 21st Street")</f>
        <v>200 East 21st Street</v>
      </c>
      <c r="C814" s="1" t="s">
        <v>101</v>
      </c>
      <c r="D814" s="1" t="s">
        <v>41</v>
      </c>
      <c r="E814" s="3">
        <v>1639383</v>
      </c>
      <c r="F814" s="1">
        <v>2120.80530401034</v>
      </c>
      <c r="G814" s="1">
        <v>3</v>
      </c>
      <c r="H814" s="1">
        <v>1</v>
      </c>
      <c r="I814" s="1">
        <v>1</v>
      </c>
      <c r="J814" s="1">
        <v>1</v>
      </c>
      <c r="K814" s="1">
        <v>1</v>
      </c>
      <c r="M814" s="1">
        <v>773</v>
      </c>
      <c r="N814" s="1">
        <v>761</v>
      </c>
      <c r="O814" s="1">
        <v>2187</v>
      </c>
      <c r="P814" s="1">
        <v>1426</v>
      </c>
      <c r="Q814" s="1" t="s">
        <v>42</v>
      </c>
      <c r="S814" s="1" t="s">
        <v>42</v>
      </c>
      <c r="T814" s="1" t="s">
        <v>203</v>
      </c>
      <c r="U814" s="1">
        <v>8</v>
      </c>
      <c r="V814" s="5">
        <v>43694</v>
      </c>
      <c r="W814" s="5">
        <v>43384</v>
      </c>
      <c r="X814" s="1">
        <v>1610000</v>
      </c>
      <c r="Y814" s="1">
        <v>1610000</v>
      </c>
      <c r="Z814" s="5">
        <v>43392</v>
      </c>
      <c r="AA814" s="1">
        <v>1639382.5</v>
      </c>
      <c r="AB814" s="1" t="s">
        <v>636</v>
      </c>
      <c r="AC814" s="5">
        <v>43640</v>
      </c>
      <c r="AF814" s="1">
        <v>10010</v>
      </c>
      <c r="AI814" s="1" t="s">
        <v>102</v>
      </c>
      <c r="AJ814" s="1">
        <v>2018</v>
      </c>
      <c r="AK814" s="1" t="s">
        <v>55</v>
      </c>
      <c r="AL814" s="1">
        <v>67</v>
      </c>
    </row>
    <row r="815" spans="1:38" x14ac:dyDescent="0.2">
      <c r="A815" s="2" t="str">
        <f>HYPERLINK("https://www.compass.com/listing/200-east-21st-street-unit-7d-manhattan-ny-10010/104909589455047985/","200 E 21st St, Unit 7D")</f>
        <v>200 E 21st St, Unit 7D</v>
      </c>
      <c r="B815" s="2" t="str">
        <f t="shared" si="139"/>
        <v>200 East 21st Street</v>
      </c>
      <c r="C815" s="1" t="s">
        <v>101</v>
      </c>
      <c r="D815" s="1" t="s">
        <v>41</v>
      </c>
      <c r="E815" s="3">
        <v>1501919</v>
      </c>
      <c r="F815" s="1">
        <v>2106.47791023842</v>
      </c>
      <c r="G815" s="1">
        <v>3</v>
      </c>
      <c r="H815" s="1">
        <v>1</v>
      </c>
      <c r="I815" s="1">
        <v>1</v>
      </c>
      <c r="J815" s="1">
        <v>1</v>
      </c>
      <c r="K815" s="1">
        <v>1</v>
      </c>
      <c r="M815" s="1">
        <v>713</v>
      </c>
      <c r="N815" s="1">
        <v>701</v>
      </c>
      <c r="O815" s="1">
        <v>2014</v>
      </c>
      <c r="P815" s="1">
        <v>1313</v>
      </c>
      <c r="Q815" s="1" t="s">
        <v>42</v>
      </c>
      <c r="S815" s="1" t="s">
        <v>42</v>
      </c>
      <c r="T815" s="1" t="s">
        <v>203</v>
      </c>
      <c r="V815" s="5">
        <v>43694</v>
      </c>
      <c r="W815" s="5">
        <v>43384</v>
      </c>
      <c r="X815" s="1">
        <v>1475000</v>
      </c>
      <c r="Y815" s="1">
        <v>1475000</v>
      </c>
      <c r="Z815" s="5">
        <v>43384</v>
      </c>
      <c r="AA815" s="1">
        <v>1501918.75</v>
      </c>
      <c r="AB815" s="1" t="s">
        <v>637</v>
      </c>
      <c r="AC815" s="5">
        <v>43620</v>
      </c>
      <c r="AF815" s="1">
        <v>10010</v>
      </c>
      <c r="AI815" s="1" t="s">
        <v>102</v>
      </c>
      <c r="AJ815" s="1">
        <v>2018</v>
      </c>
      <c r="AK815" s="1" t="s">
        <v>55</v>
      </c>
      <c r="AL815" s="1">
        <v>67</v>
      </c>
    </row>
    <row r="816" spans="1:38" x14ac:dyDescent="0.2">
      <c r="A816" s="2" t="str">
        <f>HYPERLINK("https://www.compass.com/listing/200-east-21st-street-unit-7b-manhattan-ny-10010/104909589748769473/","200 E 21st St, Unit 7B")</f>
        <v>200 E 21st St, Unit 7B</v>
      </c>
      <c r="B816" s="2" t="str">
        <f t="shared" si="139"/>
        <v>200 East 21st Street</v>
      </c>
      <c r="C816" s="1" t="s">
        <v>101</v>
      </c>
      <c r="D816" s="1" t="s">
        <v>41</v>
      </c>
      <c r="E816" s="3">
        <v>1608835</v>
      </c>
      <c r="F816" s="1">
        <v>2083.9831606217599</v>
      </c>
      <c r="G816" s="1">
        <v>3</v>
      </c>
      <c r="H816" s="1">
        <v>1</v>
      </c>
      <c r="I816" s="1">
        <v>1</v>
      </c>
      <c r="J816" s="1">
        <v>1</v>
      </c>
      <c r="K816" s="1">
        <v>1</v>
      </c>
      <c r="M816" s="1">
        <v>772</v>
      </c>
      <c r="N816" s="1">
        <v>758</v>
      </c>
      <c r="O816" s="1">
        <v>2177</v>
      </c>
      <c r="P816" s="1">
        <v>1419</v>
      </c>
      <c r="Q816" s="1" t="s">
        <v>42</v>
      </c>
      <c r="S816" s="1" t="s">
        <v>42</v>
      </c>
      <c r="T816" s="1" t="s">
        <v>203</v>
      </c>
      <c r="V816" s="5">
        <v>44397</v>
      </c>
      <c r="W816" s="5">
        <v>43384</v>
      </c>
      <c r="X816" s="1">
        <v>1580000</v>
      </c>
      <c r="Y816" s="1">
        <v>1580000</v>
      </c>
      <c r="Z816" s="5">
        <v>43384</v>
      </c>
      <c r="AA816" s="1">
        <v>1608835</v>
      </c>
      <c r="AB816" s="1" t="s">
        <v>626</v>
      </c>
      <c r="AC816" s="5">
        <v>43656</v>
      </c>
      <c r="AF816" s="1">
        <v>10010</v>
      </c>
      <c r="AI816" s="1" t="s">
        <v>614</v>
      </c>
      <c r="AJ816" s="1">
        <v>2018</v>
      </c>
      <c r="AK816" s="1" t="s">
        <v>59</v>
      </c>
      <c r="AL816" s="1">
        <v>67</v>
      </c>
    </row>
    <row r="817" spans="1:38" x14ac:dyDescent="0.2">
      <c r="A817" s="2" t="str">
        <f>HYPERLINK("https://www.compass.com/listing/200-east-21st-street-unit-6d-manhattan-ny-10010/104909590721728001/","200 E 21st St, Unit 6D")</f>
        <v>200 E 21st St, Unit 6D</v>
      </c>
      <c r="B817" s="2" t="str">
        <f t="shared" si="139"/>
        <v>200 East 21st Street</v>
      </c>
      <c r="C817" s="1" t="s">
        <v>101</v>
      </c>
      <c r="D817" s="1" t="s">
        <v>41</v>
      </c>
      <c r="E817" s="3">
        <v>1486645</v>
      </c>
      <c r="F817" s="1">
        <v>2085.0561009817602</v>
      </c>
      <c r="G817" s="1">
        <v>3</v>
      </c>
      <c r="H817" s="1">
        <v>1</v>
      </c>
      <c r="I817" s="1">
        <v>1</v>
      </c>
      <c r="J817" s="1">
        <v>1</v>
      </c>
      <c r="K817" s="1">
        <v>1</v>
      </c>
      <c r="M817" s="1">
        <v>713</v>
      </c>
      <c r="N817" s="1">
        <v>698</v>
      </c>
      <c r="O817" s="1">
        <v>2006</v>
      </c>
      <c r="P817" s="1">
        <v>1308</v>
      </c>
      <c r="Q817" s="1" t="s">
        <v>42</v>
      </c>
      <c r="S817" s="1" t="s">
        <v>42</v>
      </c>
      <c r="T817" s="1" t="s">
        <v>203</v>
      </c>
      <c r="V817" s="5">
        <v>44225</v>
      </c>
      <c r="W817" s="5">
        <v>43384</v>
      </c>
      <c r="X817" s="1">
        <v>1460000</v>
      </c>
      <c r="Y817" s="1">
        <v>1460000</v>
      </c>
      <c r="Z817" s="5">
        <v>43384</v>
      </c>
      <c r="AA817" s="1">
        <v>1486645</v>
      </c>
      <c r="AB817" s="1" t="s">
        <v>638</v>
      </c>
      <c r="AC817" s="5">
        <v>43668</v>
      </c>
      <c r="AF817" s="1">
        <v>10010</v>
      </c>
      <c r="AI817" s="1" t="s">
        <v>102</v>
      </c>
      <c r="AJ817" s="1">
        <v>2018</v>
      </c>
      <c r="AK817" s="1" t="s">
        <v>55</v>
      </c>
      <c r="AL817" s="1">
        <v>67</v>
      </c>
    </row>
    <row r="818" spans="1:38" x14ac:dyDescent="0.2">
      <c r="A818" s="2" t="str">
        <f>HYPERLINK("https://www.compass.com/listing/200-east-21st-street-unit-11b-manhattan-ny-10010/220826094469756193/","200 E 21st St, Unit 11B")</f>
        <v>200 E 21st St, Unit 11B</v>
      </c>
      <c r="B818" s="2" t="str">
        <f t="shared" si="139"/>
        <v>200 East 21st Street</v>
      </c>
      <c r="C818" s="1" t="s">
        <v>101</v>
      </c>
      <c r="D818" s="1" t="s">
        <v>41</v>
      </c>
      <c r="E818" s="3">
        <v>1650000</v>
      </c>
      <c r="F818" s="1">
        <v>2134.5407503234101</v>
      </c>
      <c r="G818" s="1">
        <v>3</v>
      </c>
      <c r="H818" s="1">
        <v>1</v>
      </c>
      <c r="I818" s="1">
        <v>1</v>
      </c>
      <c r="J818" s="1">
        <v>1</v>
      </c>
      <c r="K818" s="1">
        <v>1</v>
      </c>
      <c r="M818" s="1">
        <v>773</v>
      </c>
      <c r="N818" s="1">
        <v>767</v>
      </c>
      <c r="O818" s="1">
        <v>2208</v>
      </c>
      <c r="P818" s="1">
        <v>1441</v>
      </c>
      <c r="Q818" s="1" t="s">
        <v>42</v>
      </c>
      <c r="S818" s="1" t="s">
        <v>42</v>
      </c>
      <c r="T818" s="1" t="s">
        <v>203</v>
      </c>
      <c r="U818" s="1">
        <v>132</v>
      </c>
      <c r="V818" s="5">
        <v>43728</v>
      </c>
      <c r="W818" s="5">
        <v>43370</v>
      </c>
      <c r="X818" s="1">
        <v>1655000</v>
      </c>
      <c r="Y818" s="1">
        <v>1655000</v>
      </c>
      <c r="Z818" s="5">
        <v>43502</v>
      </c>
      <c r="AA818" s="1">
        <v>1650000</v>
      </c>
      <c r="AB818" s="1" t="s">
        <v>639</v>
      </c>
      <c r="AC818" s="5">
        <v>43644</v>
      </c>
      <c r="AF818" s="1">
        <v>10010</v>
      </c>
      <c r="AI818" s="1" t="s">
        <v>102</v>
      </c>
      <c r="AJ818" s="1">
        <v>2018</v>
      </c>
      <c r="AK818" s="1" t="s">
        <v>55</v>
      </c>
      <c r="AL818" s="1">
        <v>67</v>
      </c>
    </row>
    <row r="819" spans="1:38" x14ac:dyDescent="0.2">
      <c r="A819" s="2" t="str">
        <f>HYPERLINK("https://www.compass.com/listing/200-east-21st-street-unit-4b-manhattan-ny-10010/241125485256475841/","200 E 21st St, Unit 4B")</f>
        <v>200 E 21st St, Unit 4B</v>
      </c>
      <c r="B819" s="2" t="str">
        <f t="shared" si="139"/>
        <v>200 East 21st Street</v>
      </c>
      <c r="C819" s="1" t="s">
        <v>101</v>
      </c>
      <c r="D819" s="1" t="s">
        <v>41</v>
      </c>
      <c r="E819" s="3">
        <v>1554053</v>
      </c>
      <c r="F819" s="1">
        <v>2013.0213730569899</v>
      </c>
      <c r="G819" s="1">
        <v>3</v>
      </c>
      <c r="H819" s="1">
        <v>1</v>
      </c>
      <c r="I819" s="1">
        <v>1</v>
      </c>
      <c r="J819" s="1">
        <v>1</v>
      </c>
      <c r="K819" s="1">
        <v>1</v>
      </c>
      <c r="M819" s="1">
        <v>772</v>
      </c>
      <c r="N819" s="1">
        <v>747</v>
      </c>
      <c r="O819" s="1">
        <v>2151</v>
      </c>
      <c r="P819" s="1">
        <v>1404</v>
      </c>
      <c r="Q819" s="1" t="s">
        <v>42</v>
      </c>
      <c r="S819" s="1" t="s">
        <v>42</v>
      </c>
      <c r="T819" s="1" t="s">
        <v>203</v>
      </c>
      <c r="U819" s="1">
        <v>209</v>
      </c>
      <c r="V819" s="5">
        <v>43669</v>
      </c>
      <c r="W819" s="5">
        <v>43356</v>
      </c>
      <c r="X819" s="1">
        <v>1540000</v>
      </c>
      <c r="Y819" s="1">
        <v>1540000</v>
      </c>
      <c r="Z819" s="5">
        <v>43565</v>
      </c>
      <c r="AA819" s="1">
        <v>1554052.5</v>
      </c>
      <c r="AB819" s="1" t="s">
        <v>640</v>
      </c>
      <c r="AC819" s="5">
        <v>43648</v>
      </c>
      <c r="AF819" s="1">
        <v>10010</v>
      </c>
      <c r="AI819" s="1" t="s">
        <v>102</v>
      </c>
      <c r="AJ819" s="1">
        <v>2018</v>
      </c>
      <c r="AK819" s="1" t="s">
        <v>55</v>
      </c>
      <c r="AL819" s="1">
        <v>67</v>
      </c>
    </row>
    <row r="820" spans="1:38" x14ac:dyDescent="0.2">
      <c r="A820" s="2" t="str">
        <f>HYPERLINK("https://www.compass.com/listing/200-east-21st-street-unit-2b-manhattan-ny-10010/350518506197634849/","200 E 21st St, Unit 2B")</f>
        <v>200 E 21st St, Unit 2B</v>
      </c>
      <c r="B820" s="2" t="str">
        <f t="shared" si="139"/>
        <v>200 East 21st Street</v>
      </c>
      <c r="C820" s="1" t="s">
        <v>101</v>
      </c>
      <c r="D820" s="1" t="s">
        <v>41</v>
      </c>
      <c r="E820" s="3">
        <v>1395255</v>
      </c>
      <c r="F820" s="1">
        <v>1921.8382369146</v>
      </c>
      <c r="G820" s="1">
        <v>3</v>
      </c>
      <c r="H820" s="1">
        <v>1</v>
      </c>
      <c r="I820" s="1">
        <v>1</v>
      </c>
      <c r="J820" s="1">
        <v>1</v>
      </c>
      <c r="K820" s="1">
        <v>1</v>
      </c>
      <c r="M820" s="1">
        <v>726</v>
      </c>
      <c r="N820" s="1">
        <v>698</v>
      </c>
      <c r="O820" s="1">
        <v>1238</v>
      </c>
      <c r="P820" s="1">
        <v>540</v>
      </c>
      <c r="Q820" s="1" t="s">
        <v>42</v>
      </c>
      <c r="S820" s="1" t="s">
        <v>42</v>
      </c>
      <c r="T820" s="1" t="s">
        <v>203</v>
      </c>
      <c r="V820" s="5">
        <v>43859</v>
      </c>
      <c r="W820" s="5">
        <v>43735</v>
      </c>
      <c r="X820" s="1">
        <v>1395000</v>
      </c>
      <c r="Y820" s="1">
        <v>1395000</v>
      </c>
      <c r="Z820" s="5">
        <v>43735</v>
      </c>
      <c r="AA820" s="1">
        <v>1395254.56</v>
      </c>
      <c r="AB820" s="1" t="s">
        <v>641</v>
      </c>
      <c r="AC820" s="5">
        <v>43768</v>
      </c>
      <c r="AF820" s="1">
        <v>10010</v>
      </c>
      <c r="AI820" s="1" t="s">
        <v>102</v>
      </c>
      <c r="AJ820" s="1">
        <v>2018</v>
      </c>
      <c r="AK820" s="1" t="s">
        <v>55</v>
      </c>
      <c r="AL820" s="1">
        <v>67</v>
      </c>
    </row>
    <row r="821" spans="1:38" x14ac:dyDescent="0.2">
      <c r="A821" s="2" t="str">
        <f>HYPERLINK("https://www.compass.com/listing/200-east-21st-street-unit-3d-manhattan-ny-10010/96242684401912433/","200 E 21st St, Unit 3D")</f>
        <v>200 E 21st St, Unit 3D</v>
      </c>
      <c r="B821" s="2" t="str">
        <f t="shared" si="139"/>
        <v>200 East 21st Street</v>
      </c>
      <c r="C821" s="1" t="s">
        <v>101</v>
      </c>
      <c r="D821" s="1" t="s">
        <v>41</v>
      </c>
      <c r="E821" s="3">
        <v>1405185</v>
      </c>
      <c r="F821" s="1">
        <v>1970.8064516129</v>
      </c>
      <c r="G821" s="1">
        <v>3</v>
      </c>
      <c r="H821" s="1">
        <v>1</v>
      </c>
      <c r="I821" s="1">
        <v>1</v>
      </c>
      <c r="J821" s="1">
        <v>1</v>
      </c>
      <c r="K821" s="1">
        <v>1</v>
      </c>
      <c r="M821" s="1">
        <v>713</v>
      </c>
      <c r="N821" s="1">
        <v>690</v>
      </c>
      <c r="O821" s="1">
        <v>1982</v>
      </c>
      <c r="P821" s="1">
        <v>1292</v>
      </c>
      <c r="Q821" s="1" t="s">
        <v>42</v>
      </c>
      <c r="S821" s="1" t="s">
        <v>42</v>
      </c>
      <c r="T821" s="1" t="s">
        <v>203</v>
      </c>
      <c r="U821" s="1">
        <v>91</v>
      </c>
      <c r="V821" s="5">
        <v>44225</v>
      </c>
      <c r="W821" s="5">
        <v>43293</v>
      </c>
      <c r="X821" s="1">
        <v>1415000</v>
      </c>
      <c r="Y821" s="1">
        <v>1415000</v>
      </c>
      <c r="Z821" s="5">
        <v>43385</v>
      </c>
      <c r="AA821" s="1">
        <v>1405185</v>
      </c>
      <c r="AB821" s="1" t="s">
        <v>642</v>
      </c>
      <c r="AC821" s="5">
        <v>43661</v>
      </c>
      <c r="AF821" s="1">
        <v>10010</v>
      </c>
      <c r="AI821" s="1" t="s">
        <v>102</v>
      </c>
      <c r="AJ821" s="1">
        <v>2018</v>
      </c>
      <c r="AK821" s="1" t="s">
        <v>55</v>
      </c>
      <c r="AL821" s="1">
        <v>67</v>
      </c>
    </row>
    <row r="822" spans="1:38" x14ac:dyDescent="0.2">
      <c r="A822" s="2" t="str">
        <f>HYPERLINK("https://www.compass.com/listing/200-east-21st-street-unit-5b-manhattan-ny-10010/96242685769256225/","200 E 21st St, Unit 5B")</f>
        <v>200 E 21st St, Unit 5B</v>
      </c>
      <c r="B822" s="2" t="str">
        <f t="shared" si="139"/>
        <v>200 East 21st Street</v>
      </c>
      <c r="C822" s="1" t="s">
        <v>101</v>
      </c>
      <c r="D822" s="1" t="s">
        <v>41</v>
      </c>
      <c r="E822" s="3">
        <v>1578288</v>
      </c>
      <c r="F822" s="1">
        <v>2044.41386010362</v>
      </c>
      <c r="G822" s="1">
        <v>3</v>
      </c>
      <c r="H822" s="1">
        <v>1</v>
      </c>
      <c r="I822" s="1">
        <v>1</v>
      </c>
      <c r="J822" s="1">
        <v>1</v>
      </c>
      <c r="K822" s="1">
        <v>1</v>
      </c>
      <c r="M822" s="1">
        <v>772</v>
      </c>
      <c r="N822" s="1">
        <v>752</v>
      </c>
      <c r="O822" s="1">
        <v>2161</v>
      </c>
      <c r="P822" s="1">
        <v>1409</v>
      </c>
      <c r="Q822" s="1" t="s">
        <v>42</v>
      </c>
      <c r="S822" s="1" t="s">
        <v>42</v>
      </c>
      <c r="T822" s="1" t="s">
        <v>203</v>
      </c>
      <c r="U822" s="1">
        <v>30</v>
      </c>
      <c r="V822" s="5">
        <v>43859</v>
      </c>
      <c r="W822" s="5">
        <v>43354</v>
      </c>
      <c r="X822" s="1">
        <v>1550000</v>
      </c>
      <c r="Y822" s="1">
        <v>1550000</v>
      </c>
      <c r="Z822" s="5">
        <v>43385</v>
      </c>
      <c r="AA822" s="1">
        <v>1578287.5</v>
      </c>
      <c r="AB822" s="1" t="s">
        <v>643</v>
      </c>
      <c r="AC822" s="5">
        <v>43628</v>
      </c>
      <c r="AF822" s="1">
        <v>10010</v>
      </c>
      <c r="AI822" s="1" t="s">
        <v>102</v>
      </c>
      <c r="AJ822" s="1">
        <v>2018</v>
      </c>
      <c r="AK822" s="1" t="s">
        <v>55</v>
      </c>
      <c r="AL822" s="1">
        <v>67</v>
      </c>
    </row>
    <row r="823" spans="1:38" x14ac:dyDescent="0.2">
      <c r="A823" s="2" t="str">
        <f>HYPERLINK("https://www.compass.com/listing/275-west-10th-street-unit-5-b-manhattan-ny-10014/173166504135650385/","275 W 10th St, Unit 5/B")</f>
        <v>275 W 10th St, Unit 5/B</v>
      </c>
      <c r="B823" s="2" t="str">
        <f t="shared" ref="B823:B826" si="140">HYPERLINK("https://www.compass.com/building/the-shephard-manhattan-ny/281931968864632917/","The Shephard")</f>
        <v>The Shephard</v>
      </c>
      <c r="C823" s="1" t="s">
        <v>68</v>
      </c>
      <c r="D823" s="1" t="s">
        <v>41</v>
      </c>
      <c r="E823" s="3">
        <v>7325000</v>
      </c>
      <c r="F823" s="1">
        <v>2538.99480069324</v>
      </c>
      <c r="G823" s="1">
        <v>6</v>
      </c>
      <c r="H823" s="1">
        <v>3</v>
      </c>
      <c r="I823" s="1">
        <v>4</v>
      </c>
      <c r="J823" s="1">
        <v>3.5</v>
      </c>
      <c r="K823" s="1">
        <v>3</v>
      </c>
      <c r="L823" s="1">
        <v>1</v>
      </c>
      <c r="M823" s="4">
        <v>2885</v>
      </c>
      <c r="N823" s="1">
        <v>2651</v>
      </c>
      <c r="O823" s="1">
        <v>6123</v>
      </c>
      <c r="P823" s="1">
        <v>3472</v>
      </c>
      <c r="Q823" s="1" t="s">
        <v>42</v>
      </c>
      <c r="S823" s="1" t="s">
        <v>42</v>
      </c>
      <c r="T823" s="1" t="s">
        <v>203</v>
      </c>
      <c r="V823" s="5">
        <v>43678</v>
      </c>
      <c r="W823" s="5">
        <v>43491</v>
      </c>
      <c r="X823" s="1">
        <v>7450000</v>
      </c>
      <c r="Y823" s="1">
        <v>7450000</v>
      </c>
      <c r="Z823" s="5">
        <v>43491</v>
      </c>
      <c r="AA823" s="1">
        <v>7325000</v>
      </c>
      <c r="AB823" s="1" t="s">
        <v>644</v>
      </c>
      <c r="AC823" s="5">
        <v>43524</v>
      </c>
      <c r="AF823" s="1">
        <v>10014</v>
      </c>
      <c r="AI823" s="1" t="s">
        <v>86</v>
      </c>
      <c r="AJ823" s="1">
        <v>2015</v>
      </c>
      <c r="AK823" s="1" t="s">
        <v>87</v>
      </c>
      <c r="AL823" s="1">
        <v>38</v>
      </c>
    </row>
    <row r="824" spans="1:38" x14ac:dyDescent="0.2">
      <c r="A824" s="2" t="str">
        <f>HYPERLINK("https://www.compass.com/listing/275-west-10th-street-unit-mais-c-manhattan-ny-10014/33798461103044593/","275 W 10th St, Unit MAIS-C")</f>
        <v>275 W 10th St, Unit MAIS-C</v>
      </c>
      <c r="B824" s="2" t="str">
        <f t="shared" si="140"/>
        <v>The Shephard</v>
      </c>
      <c r="C824" s="1" t="s">
        <v>68</v>
      </c>
      <c r="D824" s="1" t="s">
        <v>41</v>
      </c>
      <c r="E824" s="3">
        <v>6307031</v>
      </c>
      <c r="F824" s="1">
        <v>2522.8123999999998</v>
      </c>
      <c r="G824" s="1">
        <v>5</v>
      </c>
      <c r="H824" s="1">
        <v>3</v>
      </c>
      <c r="I824" s="1">
        <v>4</v>
      </c>
      <c r="J824" s="1">
        <v>3.5</v>
      </c>
      <c r="K824" s="1">
        <v>3</v>
      </c>
      <c r="L824" s="1">
        <v>1</v>
      </c>
      <c r="M824" s="4">
        <v>2500</v>
      </c>
      <c r="N824" s="1">
        <v>2297</v>
      </c>
      <c r="O824" s="1">
        <v>5306</v>
      </c>
      <c r="P824" s="1">
        <v>3009</v>
      </c>
      <c r="Q824" s="1" t="s">
        <v>42</v>
      </c>
      <c r="S824" s="1" t="s">
        <v>42</v>
      </c>
      <c r="T824" s="1" t="s">
        <v>203</v>
      </c>
      <c r="U824" s="1">
        <v>330</v>
      </c>
      <c r="V824" s="5">
        <v>43678</v>
      </c>
      <c r="W824" s="5">
        <v>43112</v>
      </c>
      <c r="X824" s="1">
        <v>6675000</v>
      </c>
      <c r="Y824" s="1">
        <v>6575000</v>
      </c>
      <c r="AA824" s="1">
        <v>6307031</v>
      </c>
      <c r="AB824" s="1" t="s">
        <v>204</v>
      </c>
      <c r="AC824" s="5">
        <v>43442</v>
      </c>
      <c r="AF824" s="1">
        <v>10014</v>
      </c>
      <c r="AI824" s="1" t="s">
        <v>86</v>
      </c>
      <c r="AJ824" s="1">
        <v>2015</v>
      </c>
      <c r="AK824" s="1" t="s">
        <v>87</v>
      </c>
      <c r="AL824" s="1">
        <v>38</v>
      </c>
    </row>
    <row r="825" spans="1:38" x14ac:dyDescent="0.2">
      <c r="A825" s="2" t="str">
        <f>HYPERLINK("https://www.compass.com/listing/275-west-10th-street-unit-4-b-manhattan-ny-10014/36018149627285569/","275 W 10th St, Unit 4/B")</f>
        <v>275 W 10th St, Unit 4/B</v>
      </c>
      <c r="B825" s="2" t="str">
        <f t="shared" si="140"/>
        <v>The Shephard</v>
      </c>
      <c r="C825" s="1" t="s">
        <v>68</v>
      </c>
      <c r="D825" s="1" t="s">
        <v>41</v>
      </c>
      <c r="E825" s="3">
        <v>7265700</v>
      </c>
      <c r="F825" s="1">
        <v>2513.2134209616001</v>
      </c>
      <c r="G825" s="1">
        <v>5</v>
      </c>
      <c r="H825" s="1">
        <v>3</v>
      </c>
      <c r="I825" s="1">
        <v>4</v>
      </c>
      <c r="J825" s="1">
        <v>3.5</v>
      </c>
      <c r="K825" s="1">
        <v>3</v>
      </c>
      <c r="L825" s="1">
        <v>1</v>
      </c>
      <c r="M825" s="4">
        <v>2891</v>
      </c>
      <c r="N825" s="1">
        <v>2657</v>
      </c>
      <c r="O825" s="1">
        <v>6136</v>
      </c>
      <c r="P825" s="1">
        <v>3479</v>
      </c>
      <c r="Q825" s="1" t="s">
        <v>42</v>
      </c>
      <c r="S825" s="1" t="s">
        <v>42</v>
      </c>
      <c r="T825" s="1" t="s">
        <v>203</v>
      </c>
      <c r="U825" s="1">
        <v>195</v>
      </c>
      <c r="V825" s="5">
        <v>43678</v>
      </c>
      <c r="W825" s="5">
        <v>43302</v>
      </c>
      <c r="X825" s="1">
        <v>7850000</v>
      </c>
      <c r="Y825" s="1">
        <v>7350000</v>
      </c>
      <c r="Z825" s="5">
        <v>43497</v>
      </c>
      <c r="AA825" s="1">
        <v>7265700</v>
      </c>
      <c r="AB825" s="1" t="s">
        <v>645</v>
      </c>
      <c r="AC825" s="5">
        <v>43522</v>
      </c>
      <c r="AF825" s="1">
        <v>10014</v>
      </c>
      <c r="AI825" s="1" t="s">
        <v>86</v>
      </c>
      <c r="AJ825" s="1">
        <v>2015</v>
      </c>
      <c r="AK825" s="1" t="s">
        <v>87</v>
      </c>
      <c r="AL825" s="1">
        <v>38</v>
      </c>
    </row>
    <row r="826" spans="1:38" x14ac:dyDescent="0.2">
      <c r="A826" s="2" t="str">
        <f>HYPERLINK("https://www.compass.com/listing/275-west-10th-street-unit-5a-manhattan-ny-10014/29368592340414737/","275 W 10th St, Unit 5A")</f>
        <v>275 W 10th St, Unit 5A</v>
      </c>
      <c r="B826" s="2" t="str">
        <f t="shared" si="140"/>
        <v>The Shephard</v>
      </c>
      <c r="C826" s="1" t="s">
        <v>68</v>
      </c>
      <c r="D826" s="1" t="s">
        <v>41</v>
      </c>
      <c r="E826" s="3">
        <v>7100000</v>
      </c>
      <c r="F826" s="1">
        <v>2421.5552523874399</v>
      </c>
      <c r="G826" s="1">
        <v>4</v>
      </c>
      <c r="H826" s="1">
        <v>2</v>
      </c>
      <c r="I826" s="1">
        <v>3</v>
      </c>
      <c r="J826" s="1">
        <v>2.5</v>
      </c>
      <c r="M826" s="4">
        <v>2932</v>
      </c>
      <c r="N826" s="1">
        <v>1608</v>
      </c>
      <c r="O826" s="1">
        <v>3713</v>
      </c>
      <c r="P826" s="1">
        <v>2105</v>
      </c>
      <c r="Q826" s="1" t="s">
        <v>42</v>
      </c>
      <c r="S826" s="1" t="s">
        <v>42</v>
      </c>
      <c r="T826" s="1" t="s">
        <v>203</v>
      </c>
      <c r="U826" s="1">
        <v>4</v>
      </c>
      <c r="V826" s="5">
        <v>43754</v>
      </c>
      <c r="W826" s="5">
        <v>42272</v>
      </c>
      <c r="X826" s="1">
        <v>4350000</v>
      </c>
      <c r="Y826" s="1">
        <v>4350000</v>
      </c>
      <c r="AA826" s="1">
        <v>7100000</v>
      </c>
      <c r="AB826" s="1" t="s">
        <v>646</v>
      </c>
      <c r="AC826" s="5">
        <v>42943</v>
      </c>
      <c r="AF826" s="1">
        <v>10014</v>
      </c>
      <c r="AI826" s="1" t="s">
        <v>67</v>
      </c>
      <c r="AJ826" s="1">
        <v>2015</v>
      </c>
      <c r="AK826" s="1" t="s">
        <v>87</v>
      </c>
      <c r="AL826" s="1">
        <v>38</v>
      </c>
    </row>
    <row r="827" spans="1:38" x14ac:dyDescent="0.2">
      <c r="A827" s="2" t="str">
        <f>HYPERLINK("https://www.compass.com/listing/200-east-21st-street-unit-15b-manhattan-ny-10010/91040786333933025/","200 E 21st St, Unit 15B")</f>
        <v>200 E 21st St, Unit 15B</v>
      </c>
      <c r="B827" s="2" t="str">
        <f t="shared" ref="B827:B828" si="141">HYPERLINK("https://www.compass.com/building/200-east-21st-street-manhattan-ny/292796762689658005/","200 East 21st Street")</f>
        <v>200 East 21st Street</v>
      </c>
      <c r="C827" s="1" t="s">
        <v>101</v>
      </c>
      <c r="D827" s="1" t="s">
        <v>41</v>
      </c>
      <c r="E827" s="3">
        <v>1750000</v>
      </c>
      <c r="F827" s="1">
        <v>2263.9068564036202</v>
      </c>
      <c r="G827" s="1">
        <v>3</v>
      </c>
      <c r="H827" s="1">
        <v>1</v>
      </c>
      <c r="I827" s="1">
        <v>1</v>
      </c>
      <c r="J827" s="1">
        <v>1</v>
      </c>
      <c r="K827" s="1">
        <v>1</v>
      </c>
      <c r="M827" s="1">
        <v>773</v>
      </c>
      <c r="N827" s="1">
        <v>781</v>
      </c>
      <c r="O827" s="1">
        <v>2243</v>
      </c>
      <c r="P827" s="1">
        <v>1462</v>
      </c>
      <c r="Q827" s="1" t="s">
        <v>42</v>
      </c>
      <c r="S827" s="1" t="s">
        <v>42</v>
      </c>
      <c r="T827" s="1" t="s">
        <v>203</v>
      </c>
      <c r="V827" s="5">
        <v>43648</v>
      </c>
      <c r="W827" s="5">
        <v>43378</v>
      </c>
      <c r="X827" s="1">
        <v>1750000</v>
      </c>
      <c r="Y827" s="1">
        <v>1750000</v>
      </c>
      <c r="Z827" s="5">
        <v>43378</v>
      </c>
      <c r="AA827" s="1">
        <v>1750000</v>
      </c>
      <c r="AB827" s="1" t="s">
        <v>647</v>
      </c>
      <c r="AC827" s="5">
        <v>43595</v>
      </c>
      <c r="AF827" s="1">
        <v>10010</v>
      </c>
      <c r="AI827" s="1" t="s">
        <v>102</v>
      </c>
      <c r="AJ827" s="1">
        <v>2018</v>
      </c>
      <c r="AK827" s="1" t="s">
        <v>55</v>
      </c>
      <c r="AL827" s="1">
        <v>67</v>
      </c>
    </row>
    <row r="828" spans="1:38" x14ac:dyDescent="0.2">
      <c r="A828" s="2" t="str">
        <f>HYPERLINK("https://www.compass.com/listing/200-east-21st-street-unit-6b-manhattan-ny-10010/354836714014575921/","200 E 21st St, Unit 6B")</f>
        <v>200 E 21st St, Unit 6B</v>
      </c>
      <c r="B828" s="2" t="str">
        <f t="shared" si="141"/>
        <v>200 East 21st Street</v>
      </c>
      <c r="C828" s="1" t="s">
        <v>101</v>
      </c>
      <c r="D828" s="1" t="s">
        <v>41</v>
      </c>
      <c r="E828" s="3">
        <v>1600000</v>
      </c>
      <c r="F828" s="1">
        <v>2072.5388601036202</v>
      </c>
      <c r="G828" s="1">
        <v>3</v>
      </c>
      <c r="H828" s="1">
        <v>1</v>
      </c>
      <c r="I828" s="1">
        <v>1</v>
      </c>
      <c r="J828" s="1">
        <v>1</v>
      </c>
      <c r="K828" s="1">
        <v>1</v>
      </c>
      <c r="M828" s="1">
        <v>772</v>
      </c>
      <c r="N828" s="1">
        <v>755</v>
      </c>
      <c r="O828" s="1">
        <v>1338</v>
      </c>
      <c r="P828" s="1">
        <v>583</v>
      </c>
      <c r="Q828" s="1" t="s">
        <v>42</v>
      </c>
      <c r="S828" s="1" t="s">
        <v>42</v>
      </c>
      <c r="T828" s="1" t="s">
        <v>203</v>
      </c>
      <c r="U828" s="1">
        <v>49</v>
      </c>
      <c r="V828" s="5">
        <v>43823</v>
      </c>
      <c r="W828" s="5">
        <v>43741</v>
      </c>
      <c r="X828" s="1">
        <v>1565000</v>
      </c>
      <c r="Y828" s="1">
        <v>1625000</v>
      </c>
      <c r="Z828" s="5">
        <v>43790</v>
      </c>
      <c r="AA828" s="1">
        <v>1600000</v>
      </c>
      <c r="AB828" s="1" t="s">
        <v>648</v>
      </c>
      <c r="AC828" s="5">
        <v>43815</v>
      </c>
      <c r="AF828" s="1">
        <v>10010</v>
      </c>
      <c r="AI828" s="1" t="s">
        <v>102</v>
      </c>
      <c r="AJ828" s="1">
        <v>2018</v>
      </c>
      <c r="AK828" s="1" t="s">
        <v>55</v>
      </c>
      <c r="AL828" s="1">
        <v>67</v>
      </c>
    </row>
    <row r="829" spans="1:38" x14ac:dyDescent="0.2">
      <c r="A829" s="2" t="str">
        <f>HYPERLINK("https://www.compass.com/listing/275-west-10th-street-unit-3-c-manhattan-ny-10014/33296651661679953/","275 W 10th St, Unit 3/C")</f>
        <v>275 W 10th St, Unit 3/C</v>
      </c>
      <c r="B829" s="2" t="str">
        <f t="shared" ref="B829:B830" si="142">HYPERLINK("https://www.compass.com/building/the-shephard-manhattan-ny/281931968864632917/","The Shephard")</f>
        <v>The Shephard</v>
      </c>
      <c r="C829" s="1" t="s">
        <v>68</v>
      </c>
      <c r="D829" s="1" t="s">
        <v>41</v>
      </c>
      <c r="E829" s="3">
        <v>8150000</v>
      </c>
      <c r="F829" s="1">
        <v>2600.5105296745301</v>
      </c>
      <c r="G829" s="1">
        <v>7</v>
      </c>
      <c r="H829" s="1">
        <v>3</v>
      </c>
      <c r="I829" s="1">
        <v>4</v>
      </c>
      <c r="J829" s="1">
        <v>3.5</v>
      </c>
      <c r="K829" s="1">
        <v>3</v>
      </c>
      <c r="L829" s="1">
        <v>1</v>
      </c>
      <c r="M829" s="4">
        <v>3134</v>
      </c>
      <c r="N829" s="1">
        <v>2880</v>
      </c>
      <c r="O829" s="1">
        <v>6652</v>
      </c>
      <c r="P829" s="1">
        <v>3772</v>
      </c>
      <c r="Q829" s="1" t="s">
        <v>42</v>
      </c>
      <c r="S829" s="1" t="s">
        <v>42</v>
      </c>
      <c r="T829" s="1" t="s">
        <v>203</v>
      </c>
      <c r="U829" s="1">
        <v>92</v>
      </c>
      <c r="V829" s="5">
        <v>43678</v>
      </c>
      <c r="W829" s="5">
        <v>43298</v>
      </c>
      <c r="X829" s="1">
        <v>8750000</v>
      </c>
      <c r="Y829" s="1">
        <v>8250000</v>
      </c>
      <c r="Z829" s="5">
        <v>43390</v>
      </c>
      <c r="AA829" s="1">
        <v>8150000</v>
      </c>
      <c r="AB829" s="1" t="s">
        <v>649</v>
      </c>
      <c r="AC829" s="5">
        <v>43420</v>
      </c>
      <c r="AF829" s="1">
        <v>10014</v>
      </c>
      <c r="AI829" s="1" t="s">
        <v>86</v>
      </c>
      <c r="AJ829" s="1">
        <v>2015</v>
      </c>
      <c r="AK829" s="1" t="s">
        <v>87</v>
      </c>
      <c r="AL829" s="1">
        <v>38</v>
      </c>
    </row>
    <row r="830" spans="1:38" x14ac:dyDescent="0.2">
      <c r="A830" s="2" t="str">
        <f>HYPERLINK("https://www.compass.com/listing/275-west-10th-street-unit-2bterrace-manhattan-ny-10014/33798457294616113/","275 W 10th St, Unit 2BTERRACE")</f>
        <v>275 W 10th St, Unit 2BTERRACE</v>
      </c>
      <c r="B830" s="2" t="str">
        <f t="shared" si="142"/>
        <v>The Shephard</v>
      </c>
      <c r="C830" s="1" t="s">
        <v>68</v>
      </c>
      <c r="D830" s="1" t="s">
        <v>41</v>
      </c>
      <c r="E830" s="3">
        <v>8200000</v>
      </c>
      <c r="F830" s="1">
        <v>2866.1307235232398</v>
      </c>
      <c r="G830" s="1">
        <v>6</v>
      </c>
      <c r="H830" s="1">
        <v>3</v>
      </c>
      <c r="I830" s="1">
        <v>4</v>
      </c>
      <c r="J830" s="1">
        <v>3.5</v>
      </c>
      <c r="K830" s="1">
        <v>3</v>
      </c>
      <c r="L830" s="1">
        <v>1</v>
      </c>
      <c r="M830" s="4">
        <v>2861</v>
      </c>
      <c r="N830" s="1">
        <v>2999</v>
      </c>
      <c r="O830" s="1">
        <v>6927</v>
      </c>
      <c r="P830" s="1">
        <v>3928</v>
      </c>
      <c r="Q830" s="1" t="s">
        <v>42</v>
      </c>
      <c r="S830" s="1" t="s">
        <v>42</v>
      </c>
      <c r="T830" s="1" t="s">
        <v>203</v>
      </c>
      <c r="U830" s="1">
        <v>69</v>
      </c>
      <c r="V830" s="5">
        <v>43678</v>
      </c>
      <c r="W830" s="5">
        <v>43295</v>
      </c>
      <c r="X830" s="1">
        <v>8950000</v>
      </c>
      <c r="Y830" s="1">
        <v>8950000</v>
      </c>
      <c r="Z830" s="5">
        <v>43364</v>
      </c>
      <c r="AA830" s="1">
        <v>8200000</v>
      </c>
      <c r="AB830" s="1" t="s">
        <v>650</v>
      </c>
      <c r="AC830" s="5">
        <v>43399</v>
      </c>
      <c r="AF830" s="1">
        <v>10014</v>
      </c>
      <c r="AI830" s="1" t="s">
        <v>114</v>
      </c>
      <c r="AJ830" s="1">
        <v>2015</v>
      </c>
      <c r="AK830" s="1" t="s">
        <v>87</v>
      </c>
      <c r="AL830" s="1">
        <v>38</v>
      </c>
    </row>
    <row r="831" spans="1:38" x14ac:dyDescent="0.2">
      <c r="A831" s="2" t="str">
        <f>HYPERLINK("https://www.compass.com/listing/225-west-86th-street-unit-412a-manhattan-ny-10024/135495067514186145/","225 W 86th St, Unit 412A")</f>
        <v>225 W 86th St, Unit 412A</v>
      </c>
      <c r="B831" s="2" t="str">
        <f t="shared" ref="B831:B832" si="143">HYPERLINK("https://www.compass.com/building/the-belnord-manhattan-ny/292869672083214101/","The Belnord")</f>
        <v>The Belnord</v>
      </c>
      <c r="C831" s="1" t="s">
        <v>47</v>
      </c>
      <c r="D831" s="1" t="s">
        <v>41</v>
      </c>
      <c r="E831" s="3">
        <v>1677924</v>
      </c>
      <c r="F831" s="1">
        <v>1199.3738384560399</v>
      </c>
      <c r="G831" s="1">
        <v>4.5</v>
      </c>
      <c r="H831" s="1">
        <v>2</v>
      </c>
      <c r="I831" s="1">
        <v>3</v>
      </c>
      <c r="J831" s="1">
        <v>2.5</v>
      </c>
      <c r="K831" s="1">
        <v>2</v>
      </c>
      <c r="L831" s="1">
        <v>1</v>
      </c>
      <c r="M831" s="4">
        <v>1399</v>
      </c>
      <c r="N831" s="1">
        <v>1191</v>
      </c>
      <c r="O831" s="1">
        <v>3048</v>
      </c>
      <c r="P831" s="1">
        <v>1857</v>
      </c>
      <c r="Q831" s="1" t="s">
        <v>42</v>
      </c>
      <c r="S831" s="1" t="s">
        <v>42</v>
      </c>
      <c r="T831" s="1" t="s">
        <v>203</v>
      </c>
      <c r="V831" s="5">
        <v>43648</v>
      </c>
      <c r="W831" s="5">
        <v>43439</v>
      </c>
      <c r="X831" s="1">
        <v>3350000</v>
      </c>
      <c r="Y831" s="1">
        <v>3350000</v>
      </c>
      <c r="Z831" s="5">
        <v>43439</v>
      </c>
      <c r="AA831" s="1">
        <v>1677924</v>
      </c>
      <c r="AB831" s="1" t="s">
        <v>204</v>
      </c>
      <c r="AC831" s="5">
        <v>43587</v>
      </c>
      <c r="AF831" s="1">
        <v>10024</v>
      </c>
      <c r="AI831" s="1" t="s">
        <v>67</v>
      </c>
      <c r="AJ831" s="1">
        <v>1908</v>
      </c>
      <c r="AK831" s="1" t="s">
        <v>81</v>
      </c>
      <c r="AL831" s="1">
        <v>213</v>
      </c>
    </row>
    <row r="832" spans="1:38" x14ac:dyDescent="0.2">
      <c r="A832" s="2" t="str">
        <f>HYPERLINK("https://www.compass.com/listing/225-west-86th-street-unit-m11a-manhattan-ny-10024/90504820426929665/","225 W 86th St, Unit M11A")</f>
        <v>225 W 86th St, Unit M11A</v>
      </c>
      <c r="B832" s="2" t="str">
        <f t="shared" si="143"/>
        <v>The Belnord</v>
      </c>
      <c r="C832" s="1" t="s">
        <v>47</v>
      </c>
      <c r="D832" s="1" t="s">
        <v>41</v>
      </c>
      <c r="E832" s="3">
        <v>1591670</v>
      </c>
      <c r="F832" s="1">
        <v>1093.9312714776599</v>
      </c>
      <c r="G832" s="1">
        <v>4.5</v>
      </c>
      <c r="H832" s="1">
        <v>2</v>
      </c>
      <c r="I832" s="1">
        <v>1</v>
      </c>
      <c r="J832" s="1">
        <v>1</v>
      </c>
      <c r="K832" s="1">
        <v>1</v>
      </c>
      <c r="M832" s="4">
        <v>1455</v>
      </c>
      <c r="N832" s="1">
        <v>1214</v>
      </c>
      <c r="O832" s="1">
        <v>3108</v>
      </c>
      <c r="P832" s="1">
        <v>1894</v>
      </c>
      <c r="Q832" s="1" t="s">
        <v>42</v>
      </c>
      <c r="S832" s="1" t="s">
        <v>42</v>
      </c>
      <c r="T832" s="1" t="s">
        <v>203</v>
      </c>
      <c r="U832" s="1">
        <v>17</v>
      </c>
      <c r="V832" s="5">
        <v>43635</v>
      </c>
      <c r="W832" s="5">
        <v>43377</v>
      </c>
      <c r="X832" s="1">
        <v>3000000</v>
      </c>
      <c r="Y832" s="1">
        <v>3000000</v>
      </c>
      <c r="Z832" s="5">
        <v>43394</v>
      </c>
      <c r="AA832" s="1">
        <v>1591670</v>
      </c>
      <c r="AB832" s="1" t="s">
        <v>204</v>
      </c>
      <c r="AC832" s="5">
        <v>43568</v>
      </c>
      <c r="AF832" s="1">
        <v>10024</v>
      </c>
      <c r="AI832" s="1" t="s">
        <v>67</v>
      </c>
      <c r="AJ832" s="1">
        <v>1908</v>
      </c>
      <c r="AK832" s="1" t="s">
        <v>81</v>
      </c>
      <c r="AL832" s="1">
        <v>213</v>
      </c>
    </row>
    <row r="833" spans="1:38" x14ac:dyDescent="0.2">
      <c r="A833" s="2" t="str">
        <f>HYPERLINK("https://www.compass.com/listing/275-west-10th-street-unit-mais-b-manhattan-ny-10014/4866182162228969809/","275 W 10th St, Unit MAIS-B")</f>
        <v>275 W 10th St, Unit MAIS-B</v>
      </c>
      <c r="B833" s="2" t="str">
        <f>HYPERLINK("https://www.compass.com/building/the-shephard-manhattan-ny/281931968864632917/","The Shephard")</f>
        <v>The Shephard</v>
      </c>
      <c r="C833" s="1" t="s">
        <v>68</v>
      </c>
      <c r="D833" s="1" t="s">
        <v>41</v>
      </c>
      <c r="E833" s="3">
        <v>4775000</v>
      </c>
      <c r="F833" s="1">
        <v>2556.20985010706</v>
      </c>
      <c r="G833" s="1">
        <v>4</v>
      </c>
      <c r="H833" s="1">
        <v>2</v>
      </c>
      <c r="I833" s="1">
        <v>3</v>
      </c>
      <c r="J833" s="1">
        <v>0.5</v>
      </c>
      <c r="L833" s="1">
        <v>1</v>
      </c>
      <c r="M833" s="4">
        <v>1868</v>
      </c>
      <c r="N833" s="1">
        <v>1722</v>
      </c>
      <c r="O833" s="1">
        <v>3977</v>
      </c>
      <c r="P833" s="1">
        <v>2255</v>
      </c>
      <c r="Q833" s="1" t="s">
        <v>42</v>
      </c>
      <c r="S833" s="1" t="s">
        <v>42</v>
      </c>
      <c r="T833" s="1" t="s">
        <v>203</v>
      </c>
      <c r="V833" s="5">
        <v>43657</v>
      </c>
      <c r="W833" s="5">
        <v>42291</v>
      </c>
      <c r="X833" s="1">
        <v>4775000</v>
      </c>
      <c r="Y833" s="1">
        <v>4775000</v>
      </c>
      <c r="Z833" s="5">
        <v>42291</v>
      </c>
      <c r="AA833" s="1">
        <v>4775000</v>
      </c>
      <c r="AB833" s="1" t="s">
        <v>204</v>
      </c>
      <c r="AC833" s="5">
        <v>43070</v>
      </c>
      <c r="AF833" s="1">
        <v>10014</v>
      </c>
      <c r="AI833" s="1" t="s">
        <v>86</v>
      </c>
      <c r="AJ833" s="1">
        <v>2015</v>
      </c>
      <c r="AK833" s="1" t="s">
        <v>87</v>
      </c>
      <c r="AL833" s="1">
        <v>38</v>
      </c>
    </row>
    <row r="834" spans="1:38" x14ac:dyDescent="0.2">
      <c r="A834" s="2" t="str">
        <f>HYPERLINK("https://www.compass.com/listing/200-east-21st-street-unit-9d-manhattan-ny-10010/355082491943041665/","200 E 21st St, Unit 9D")</f>
        <v>200 E 21st St, Unit 9D</v>
      </c>
      <c r="B834" s="2" t="str">
        <f>HYPERLINK("https://www.compass.com/building/200-east-21st-street-manhattan-ny/292796762689658005/","200 East 21st Street")</f>
        <v>200 East 21st Street</v>
      </c>
      <c r="C834" s="1" t="s">
        <v>101</v>
      </c>
      <c r="D834" s="1" t="s">
        <v>41</v>
      </c>
      <c r="E834" s="3">
        <v>2550000</v>
      </c>
      <c r="F834" s="1">
        <v>1741.8032786885201</v>
      </c>
      <c r="G834" s="1">
        <v>4</v>
      </c>
      <c r="H834" s="1">
        <v>2</v>
      </c>
      <c r="I834" s="1">
        <v>3</v>
      </c>
      <c r="J834" s="1">
        <v>2.5</v>
      </c>
      <c r="K834" s="1">
        <v>2</v>
      </c>
      <c r="L834" s="1">
        <v>1</v>
      </c>
      <c r="M834" s="4">
        <v>1464</v>
      </c>
      <c r="N834" s="1">
        <v>1440</v>
      </c>
      <c r="O834" s="1">
        <v>3195</v>
      </c>
      <c r="P834" s="1">
        <v>1755</v>
      </c>
      <c r="Q834" s="1" t="s">
        <v>335</v>
      </c>
      <c r="S834" s="1" t="s">
        <v>336</v>
      </c>
      <c r="T834" s="1" t="s">
        <v>203</v>
      </c>
      <c r="U834" s="1">
        <v>691</v>
      </c>
      <c r="V834" s="5">
        <v>44225</v>
      </c>
      <c r="W834" s="5">
        <v>43410</v>
      </c>
      <c r="X834" s="1">
        <v>3095000</v>
      </c>
      <c r="Y834" s="1">
        <v>2750000</v>
      </c>
      <c r="Z834" s="5">
        <v>44196</v>
      </c>
      <c r="AA834" s="1">
        <v>2550000</v>
      </c>
      <c r="AB834" s="1" t="s">
        <v>651</v>
      </c>
      <c r="AC834" s="5">
        <v>44222</v>
      </c>
      <c r="AF834" s="1">
        <v>10010</v>
      </c>
      <c r="AI834" s="1" t="s">
        <v>102</v>
      </c>
      <c r="AJ834" s="1">
        <v>2018</v>
      </c>
      <c r="AK834" s="1" t="s">
        <v>55</v>
      </c>
      <c r="AL834" s="1">
        <v>67</v>
      </c>
    </row>
    <row r="835" spans="1:38" x14ac:dyDescent="0.2">
      <c r="A835" s="2" t="str">
        <f>HYPERLINK("https://www.compass.com/listing/101-west-78th-street-unit-6b-manhattan-ny-10024/29394205461795633/","101 W 78th St, Unit 6B")</f>
        <v>101 W 78th St, Unit 6B</v>
      </c>
      <c r="B835" s="2" t="str">
        <f>HYPERLINK("https://www.compass.com/building/101-w-78th-st-manhattan-ny-10024/281961405798754085/","101 W 78th St")</f>
        <v>101 W 78th St</v>
      </c>
      <c r="C835" s="1" t="s">
        <v>47</v>
      </c>
      <c r="D835" s="1" t="s">
        <v>41</v>
      </c>
      <c r="E835" s="3">
        <v>966000</v>
      </c>
      <c r="G835" s="1">
        <v>3</v>
      </c>
      <c r="H835" s="1">
        <v>1</v>
      </c>
      <c r="I835" s="1">
        <v>1</v>
      </c>
      <c r="J835" s="1">
        <v>1</v>
      </c>
      <c r="N835" s="1">
        <v>1394</v>
      </c>
      <c r="O835" s="1">
        <v>2294</v>
      </c>
      <c r="P835" s="1">
        <v>900</v>
      </c>
      <c r="Q835" s="1" t="s">
        <v>42</v>
      </c>
      <c r="S835" s="1" t="s">
        <v>42</v>
      </c>
      <c r="T835" s="1" t="s">
        <v>203</v>
      </c>
      <c r="V835" s="5">
        <v>43208</v>
      </c>
      <c r="AA835" s="1">
        <v>966000</v>
      </c>
      <c r="AB835" s="1" t="s">
        <v>652</v>
      </c>
      <c r="AC835" s="5">
        <v>43138</v>
      </c>
      <c r="AF835" s="1">
        <v>10024</v>
      </c>
      <c r="AJ835" s="1">
        <v>1886</v>
      </c>
      <c r="AK835" s="1" t="s">
        <v>428</v>
      </c>
      <c r="AL835" s="1">
        <v>21</v>
      </c>
    </row>
    <row r="836" spans="1:38" x14ac:dyDescent="0.2">
      <c r="A836" s="2" t="str">
        <f>HYPERLINK("https://www.compass.com/listing/275-west-10th-street-unit-5a-manhattan-ny-10014/29368592340414721/","275 W 10th St, Unit 5A")</f>
        <v>275 W 10th St, Unit 5A</v>
      </c>
      <c r="B836" s="2" t="str">
        <f t="shared" ref="B836:B838" si="144">HYPERLINK("https://www.compass.com/building/the-shephard-manhattan-ny/281931968864632917/","The Shephard")</f>
        <v>The Shephard</v>
      </c>
      <c r="C836" s="1" t="s">
        <v>68</v>
      </c>
      <c r="D836" s="1" t="s">
        <v>41</v>
      </c>
      <c r="E836" s="3">
        <v>7100000</v>
      </c>
      <c r="F836" s="1">
        <v>4071.1009174311898</v>
      </c>
      <c r="G836" s="1">
        <v>4</v>
      </c>
      <c r="H836" s="1">
        <v>2</v>
      </c>
      <c r="I836" s="1">
        <v>3</v>
      </c>
      <c r="J836" s="1">
        <v>0.5</v>
      </c>
      <c r="L836" s="1">
        <v>1</v>
      </c>
      <c r="M836" s="4">
        <v>1744</v>
      </c>
      <c r="N836" s="1">
        <v>1608</v>
      </c>
      <c r="O836" s="1">
        <v>3713</v>
      </c>
      <c r="P836" s="1">
        <v>2105</v>
      </c>
      <c r="Q836" s="1" t="s">
        <v>42</v>
      </c>
      <c r="S836" s="1" t="s">
        <v>42</v>
      </c>
      <c r="T836" s="1" t="s">
        <v>203</v>
      </c>
      <c r="V836" s="5">
        <v>43238</v>
      </c>
      <c r="W836" s="5">
        <v>42272</v>
      </c>
      <c r="X836" s="1">
        <v>4350000</v>
      </c>
      <c r="AB836" s="1" t="s">
        <v>204</v>
      </c>
      <c r="AF836" s="1">
        <v>10014</v>
      </c>
      <c r="AI836" s="1" t="s">
        <v>86</v>
      </c>
      <c r="AJ836" s="1">
        <v>2015</v>
      </c>
      <c r="AK836" s="1" t="s">
        <v>87</v>
      </c>
      <c r="AL836" s="1">
        <v>38</v>
      </c>
    </row>
    <row r="837" spans="1:38" x14ac:dyDescent="0.2">
      <c r="A837" s="2" t="str">
        <f>HYPERLINK("https://www.compass.com/listing/275-west-10th-street-unit-11b-manhattan-ny-10014/29368601752388017/","275 W 10th St, Unit 11B")</f>
        <v>275 W 10th St, Unit 11B</v>
      </c>
      <c r="B837" s="2" t="str">
        <f t="shared" si="144"/>
        <v>The Shephard</v>
      </c>
      <c r="C837" s="1" t="s">
        <v>68</v>
      </c>
      <c r="D837" s="1" t="s">
        <v>41</v>
      </c>
      <c r="E837" s="3">
        <v>9650000</v>
      </c>
      <c r="F837" s="1">
        <v>3344.8873483535499</v>
      </c>
      <c r="G837" s="1">
        <v>5</v>
      </c>
      <c r="H837" s="1">
        <v>3</v>
      </c>
      <c r="I837" s="1">
        <v>4</v>
      </c>
      <c r="J837" s="1">
        <v>0.5</v>
      </c>
      <c r="L837" s="1">
        <v>1</v>
      </c>
      <c r="M837" s="4">
        <v>2885</v>
      </c>
      <c r="N837" s="1">
        <v>2659</v>
      </c>
      <c r="O837" s="1">
        <v>6141</v>
      </c>
      <c r="P837" s="1">
        <v>3482</v>
      </c>
      <c r="Q837" s="1" t="s">
        <v>42</v>
      </c>
      <c r="S837" s="1" t="s">
        <v>42</v>
      </c>
      <c r="T837" s="1" t="s">
        <v>203</v>
      </c>
      <c r="U837" s="1">
        <v>81</v>
      </c>
      <c r="V837" s="5">
        <v>43657</v>
      </c>
      <c r="W837" s="5">
        <v>42273</v>
      </c>
      <c r="X837" s="1">
        <v>9650000</v>
      </c>
      <c r="Y837" s="1">
        <v>9650000</v>
      </c>
      <c r="Z837" s="5">
        <v>42354</v>
      </c>
      <c r="AA837" s="1">
        <v>9650000</v>
      </c>
      <c r="AB837" s="1" t="s">
        <v>653</v>
      </c>
      <c r="AC837" s="5">
        <v>42779</v>
      </c>
      <c r="AF837" s="1">
        <v>10014</v>
      </c>
      <c r="AI837" s="1" t="s">
        <v>86</v>
      </c>
      <c r="AJ837" s="1">
        <v>2015</v>
      </c>
      <c r="AK837" s="1" t="s">
        <v>87</v>
      </c>
      <c r="AL837" s="1">
        <v>38</v>
      </c>
    </row>
    <row r="838" spans="1:38" x14ac:dyDescent="0.2">
      <c r="A838" s="2" t="str">
        <f>HYPERLINK("https://www.compass.com/listing/275-west-10th-street-unit-3b-manhattan-ny-10014/29512044281622705/","275 W 10th St, Unit 3B")</f>
        <v>275 W 10th St, Unit 3B</v>
      </c>
      <c r="B838" s="2" t="str">
        <f t="shared" si="144"/>
        <v>The Shephard</v>
      </c>
      <c r="C838" s="1" t="s">
        <v>68</v>
      </c>
      <c r="D838" s="1" t="s">
        <v>41</v>
      </c>
      <c r="E838" s="3">
        <v>7695000</v>
      </c>
      <c r="F838" s="1">
        <v>2667.2443674176702</v>
      </c>
      <c r="G838" s="1">
        <v>6</v>
      </c>
      <c r="H838" s="1">
        <v>3</v>
      </c>
      <c r="I838" s="1">
        <v>4</v>
      </c>
      <c r="J838" s="1">
        <v>0.5</v>
      </c>
      <c r="L838" s="1">
        <v>1</v>
      </c>
      <c r="M838" s="4">
        <v>2885</v>
      </c>
      <c r="N838" s="1">
        <v>2651</v>
      </c>
      <c r="O838" s="1">
        <v>6123</v>
      </c>
      <c r="P838" s="1">
        <v>3472</v>
      </c>
      <c r="Q838" s="1" t="s">
        <v>42</v>
      </c>
      <c r="S838" s="1" t="s">
        <v>42</v>
      </c>
      <c r="T838" s="1" t="s">
        <v>203</v>
      </c>
      <c r="U838" s="1">
        <v>184</v>
      </c>
      <c r="V838" s="5">
        <v>43694</v>
      </c>
      <c r="W838" s="5">
        <v>42704</v>
      </c>
      <c r="X838" s="1">
        <v>7895000</v>
      </c>
      <c r="Y838" s="1">
        <v>7895000</v>
      </c>
      <c r="Z838" s="5">
        <v>43022</v>
      </c>
      <c r="AA838" s="1">
        <v>7695000</v>
      </c>
      <c r="AB838" s="1" t="s">
        <v>654</v>
      </c>
      <c r="AC838" s="5">
        <v>43049</v>
      </c>
      <c r="AF838" s="1">
        <v>10014</v>
      </c>
      <c r="AI838" s="1" t="s">
        <v>86</v>
      </c>
      <c r="AJ838" s="1">
        <v>2015</v>
      </c>
      <c r="AK838" s="1" t="s">
        <v>87</v>
      </c>
      <c r="AL838" s="1">
        <v>38</v>
      </c>
    </row>
    <row r="839" spans="1:38" x14ac:dyDescent="0.2">
      <c r="A839" s="2" t="str">
        <f>HYPERLINK("https://www.compass.com/listing/200-east-21st-street-unit-11a-manhattan-ny-10010/386252675374353073/","200 E 21st St, Unit 11A")</f>
        <v>200 E 21st St, Unit 11A</v>
      </c>
      <c r="B839" s="2" t="str">
        <f>HYPERLINK("https://www.compass.com/building/200-east-21st-street-manhattan-ny/292796762689658005/","200 East 21st Street")</f>
        <v>200 East 21st Street</v>
      </c>
      <c r="C839" s="1" t="s">
        <v>101</v>
      </c>
      <c r="D839" s="1" t="s">
        <v>41</v>
      </c>
      <c r="E839" s="3">
        <v>2720255</v>
      </c>
      <c r="F839" s="1">
        <v>1903.60710986704</v>
      </c>
      <c r="G839" s="1">
        <v>4</v>
      </c>
      <c r="H839" s="1">
        <v>2</v>
      </c>
      <c r="I839" s="1">
        <v>2</v>
      </c>
      <c r="J839" s="1">
        <v>2</v>
      </c>
      <c r="K839" s="1">
        <v>2</v>
      </c>
      <c r="M839" s="4">
        <v>1429</v>
      </c>
      <c r="N839" s="1">
        <v>1417</v>
      </c>
      <c r="O839" s="1">
        <v>2514</v>
      </c>
      <c r="P839" s="1">
        <v>1097</v>
      </c>
      <c r="Q839" s="1" t="s">
        <v>335</v>
      </c>
      <c r="S839" s="1" t="s">
        <v>336</v>
      </c>
      <c r="T839" s="1" t="s">
        <v>203</v>
      </c>
      <c r="U839" s="1">
        <v>109</v>
      </c>
      <c r="V839" s="5">
        <v>43922</v>
      </c>
      <c r="W839" s="5">
        <v>43784</v>
      </c>
      <c r="X839" s="1">
        <v>2815000</v>
      </c>
      <c r="Y839" s="1">
        <v>2815000</v>
      </c>
      <c r="Z839" s="5">
        <v>43894</v>
      </c>
      <c r="AA839" s="1">
        <v>2720254.56</v>
      </c>
      <c r="AB839" s="1" t="s">
        <v>655</v>
      </c>
      <c r="AC839" s="5">
        <v>43916</v>
      </c>
      <c r="AF839" s="1">
        <v>10010</v>
      </c>
      <c r="AI839" s="1" t="s">
        <v>102</v>
      </c>
      <c r="AJ839" s="1">
        <v>2018</v>
      </c>
      <c r="AK839" s="1" t="s">
        <v>55</v>
      </c>
      <c r="AL839" s="1">
        <v>67</v>
      </c>
    </row>
    <row r="840" spans="1:38" x14ac:dyDescent="0.2">
      <c r="A840" s="2" t="str">
        <f>HYPERLINK("https://www.compass.com/listing/150-east-23rd-street-unit-5c-manhattan-ny-10010/530467140393017425/","150 E 23rd St, Unit 5C")</f>
        <v>150 E 23rd St, Unit 5C</v>
      </c>
      <c r="B840" s="2" t="str">
        <f>HYPERLINK("https://www.compass.com/building/celeste-gramercy-manhattan-ny/292795972759607813/","Celeste Gramercy")</f>
        <v>Celeste Gramercy</v>
      </c>
      <c r="C840" s="1" t="s">
        <v>101</v>
      </c>
      <c r="D840" s="1" t="s">
        <v>41</v>
      </c>
      <c r="E840" s="3">
        <v>2825550</v>
      </c>
      <c r="F840" s="1">
        <v>1725</v>
      </c>
      <c r="G840" s="1">
        <v>5</v>
      </c>
      <c r="H840" s="1">
        <v>3</v>
      </c>
      <c r="I840" s="1">
        <v>3</v>
      </c>
      <c r="J840" s="1">
        <v>3</v>
      </c>
      <c r="K840" s="1">
        <v>3</v>
      </c>
      <c r="M840" s="4">
        <v>1638</v>
      </c>
      <c r="N840" s="1">
        <v>2234</v>
      </c>
      <c r="O840" s="1">
        <v>3854</v>
      </c>
      <c r="P840" s="1">
        <v>1620</v>
      </c>
      <c r="Q840" s="1" t="s">
        <v>42</v>
      </c>
      <c r="S840" s="1" t="s">
        <v>42</v>
      </c>
      <c r="T840" s="1" t="s">
        <v>203</v>
      </c>
      <c r="U840" s="1">
        <v>311</v>
      </c>
      <c r="V840" s="5">
        <v>44318</v>
      </c>
      <c r="W840" s="5">
        <v>43983</v>
      </c>
      <c r="X840" s="1">
        <v>3075000</v>
      </c>
      <c r="Y840" s="1">
        <v>3075000</v>
      </c>
      <c r="Z840" s="5">
        <v>43983</v>
      </c>
      <c r="AA840" s="1">
        <v>2825550</v>
      </c>
      <c r="AB840" s="1" t="s">
        <v>656</v>
      </c>
      <c r="AC840" s="5">
        <v>44315</v>
      </c>
      <c r="AF840" s="1">
        <v>10010</v>
      </c>
      <c r="AI840" s="1" t="s">
        <v>45</v>
      </c>
      <c r="AJ840" s="1">
        <v>2018</v>
      </c>
      <c r="AK840" s="1" t="s">
        <v>50</v>
      </c>
      <c r="AL840" s="1">
        <v>51</v>
      </c>
    </row>
    <row r="841" spans="1:38" x14ac:dyDescent="0.2">
      <c r="A841" s="2" t="str">
        <f>HYPERLINK("https://www.compass.com/listing/30-park-place-unit-56c-manhattan-ny-10007/29357576210615649/","30 Park Pl, Unit 56C")</f>
        <v>30 Park Pl, Unit 56C</v>
      </c>
      <c r="B841" s="2" t="str">
        <f t="shared" ref="B841:B842" si="145">HYPERLINK("https://www.compass.com/building/30-park-pl-manhattan-ny-10007/281896912905317605/","30 Park Pl")</f>
        <v>30 Park Pl</v>
      </c>
      <c r="C841" s="1" t="s">
        <v>40</v>
      </c>
      <c r="D841" s="1" t="s">
        <v>41</v>
      </c>
      <c r="E841" s="3">
        <v>4210464</v>
      </c>
      <c r="F841" s="1">
        <v>2728.7516202203501</v>
      </c>
      <c r="H841" s="1">
        <v>2</v>
      </c>
      <c r="J841" s="1">
        <v>2.5</v>
      </c>
      <c r="K841" s="1">
        <v>2</v>
      </c>
      <c r="L841" s="1">
        <v>1</v>
      </c>
      <c r="M841" s="4">
        <v>1543</v>
      </c>
      <c r="N841" s="1">
        <v>1332</v>
      </c>
      <c r="O841" s="1">
        <v>4549</v>
      </c>
      <c r="P841" s="1">
        <v>3217</v>
      </c>
      <c r="Q841" s="1" t="s">
        <v>42</v>
      </c>
      <c r="S841" s="1" t="s">
        <v>42</v>
      </c>
      <c r="T841" s="1" t="s">
        <v>203</v>
      </c>
      <c r="AA841" s="1">
        <v>4210463.75</v>
      </c>
      <c r="AB841" s="1" t="s">
        <v>657</v>
      </c>
      <c r="AC841" s="5">
        <v>42744</v>
      </c>
      <c r="AF841" s="1">
        <v>10007</v>
      </c>
      <c r="AJ841" s="1">
        <v>2016</v>
      </c>
      <c r="AK841" s="1" t="s">
        <v>50</v>
      </c>
      <c r="AL841" s="1">
        <v>157</v>
      </c>
    </row>
    <row r="842" spans="1:38" x14ac:dyDescent="0.2">
      <c r="A842" s="2" t="str">
        <f>HYPERLINK("https://www.compass.com/listing/30-park-place-unit-49b-manhattan-ny-10007/70925397113462609/","30 Park Pl, Unit 49B")</f>
        <v>30 Park Pl, Unit 49B</v>
      </c>
      <c r="B842" s="2" t="str">
        <f t="shared" si="145"/>
        <v>30 Park Pl</v>
      </c>
      <c r="C842" s="1" t="s">
        <v>40</v>
      </c>
      <c r="D842" s="1" t="s">
        <v>41</v>
      </c>
      <c r="E842" s="3">
        <v>4633038</v>
      </c>
      <c r="F842" s="1">
        <v>2784.27734375</v>
      </c>
      <c r="H842" s="1">
        <v>2</v>
      </c>
      <c r="J842" s="1">
        <v>2.5</v>
      </c>
      <c r="K842" s="1">
        <v>2</v>
      </c>
      <c r="L842" s="1">
        <v>1</v>
      </c>
      <c r="M842" s="4">
        <v>1664</v>
      </c>
      <c r="N842" s="1">
        <v>1342</v>
      </c>
      <c r="O842" s="1">
        <v>4762</v>
      </c>
      <c r="P842" s="1">
        <v>3420</v>
      </c>
      <c r="Q842" s="1" t="s">
        <v>42</v>
      </c>
      <c r="S842" s="1" t="s">
        <v>42</v>
      </c>
      <c r="T842" s="1" t="s">
        <v>203</v>
      </c>
      <c r="AA842" s="1">
        <v>4633037.5</v>
      </c>
      <c r="AB842" s="1" t="s">
        <v>658</v>
      </c>
      <c r="AC842" s="5">
        <v>43084</v>
      </c>
      <c r="AF842" s="1">
        <v>10007</v>
      </c>
      <c r="AJ842" s="1">
        <v>2016</v>
      </c>
      <c r="AK842" s="1" t="s">
        <v>50</v>
      </c>
      <c r="AL842" s="1">
        <v>157</v>
      </c>
    </row>
    <row r="843" spans="1:38" x14ac:dyDescent="0.2">
      <c r="A843" s="2" t="str">
        <f>HYPERLINK("https://www.compass.com/listing/360-central-park-west-unit-12e-manhattan-ny-10025/4864735558154336001/","360 Central Park W, Unit 12E")</f>
        <v>360 Central Park W, Unit 12E</v>
      </c>
      <c r="B843" s="2" t="str">
        <f>HYPERLINK("https://www.compass.com/building/360-central-park-west-manhattan-ny/281971555427243781/","360 Central Park West")</f>
        <v>360 Central Park West</v>
      </c>
      <c r="C843" s="1" t="s">
        <v>47</v>
      </c>
      <c r="D843" s="1" t="s">
        <v>41</v>
      </c>
      <c r="E843" s="3">
        <v>3655000</v>
      </c>
      <c r="F843" s="1">
        <v>1900.67602704108</v>
      </c>
      <c r="G843" s="1">
        <v>5</v>
      </c>
      <c r="H843" s="1">
        <v>3</v>
      </c>
      <c r="I843" s="1">
        <v>3</v>
      </c>
      <c r="J843" s="1">
        <v>0.5</v>
      </c>
      <c r="L843" s="1">
        <v>1</v>
      </c>
      <c r="M843" s="4">
        <v>1923</v>
      </c>
      <c r="N843" s="1">
        <v>2173</v>
      </c>
      <c r="O843" s="1">
        <v>3578</v>
      </c>
      <c r="P843" s="1">
        <v>1405</v>
      </c>
      <c r="Q843" s="1" t="s">
        <v>42</v>
      </c>
      <c r="S843" s="1" t="s">
        <v>42</v>
      </c>
      <c r="T843" s="1" t="s">
        <v>203</v>
      </c>
      <c r="U843" s="1">
        <v>14</v>
      </c>
      <c r="V843" s="5">
        <v>43671</v>
      </c>
      <c r="W843" s="5">
        <v>42230</v>
      </c>
      <c r="X843" s="1">
        <v>3655000</v>
      </c>
      <c r="Y843" s="1">
        <v>3655000</v>
      </c>
      <c r="Z843" s="5">
        <v>42244</v>
      </c>
      <c r="AA843" s="1">
        <v>3655000</v>
      </c>
      <c r="AB843" s="1" t="s">
        <v>204</v>
      </c>
      <c r="AC843" s="5">
        <v>43098</v>
      </c>
      <c r="AF843" s="1">
        <v>10025</v>
      </c>
      <c r="AJ843" s="1">
        <v>1929</v>
      </c>
      <c r="AK843" s="1" t="s">
        <v>428</v>
      </c>
      <c r="AL843" s="1">
        <v>126</v>
      </c>
    </row>
    <row r="844" spans="1:38" x14ac:dyDescent="0.2">
      <c r="A844" s="2" t="str">
        <f>HYPERLINK("https://www.compass.com/listing/275-west-10th-street-unit-8b-manhattan-ny-10014/29368597096755569/","275 W 10th St, Unit 8B")</f>
        <v>275 W 10th St, Unit 8B</v>
      </c>
      <c r="B844" s="2" t="str">
        <f t="shared" ref="B844:B849" si="146">HYPERLINK("https://www.compass.com/building/the-shephard-manhattan-ny/281931968864632917/","The Shephard")</f>
        <v>The Shephard</v>
      </c>
      <c r="C844" s="1" t="s">
        <v>68</v>
      </c>
      <c r="D844" s="1" t="s">
        <v>41</v>
      </c>
      <c r="E844" s="3">
        <v>6975013</v>
      </c>
      <c r="F844" s="1">
        <v>2991.00042881646</v>
      </c>
      <c r="G844" s="1">
        <v>4</v>
      </c>
      <c r="H844" s="1">
        <v>2</v>
      </c>
      <c r="I844" s="1">
        <v>3</v>
      </c>
      <c r="J844" s="1">
        <v>2.5</v>
      </c>
      <c r="M844" s="4">
        <v>2332</v>
      </c>
      <c r="N844" s="1">
        <v>2150</v>
      </c>
      <c r="O844" s="1">
        <v>4965</v>
      </c>
      <c r="P844" s="1">
        <v>2815</v>
      </c>
      <c r="Q844" s="1" t="s">
        <v>42</v>
      </c>
      <c r="S844" s="1" t="s">
        <v>42</v>
      </c>
      <c r="T844" s="1" t="s">
        <v>203</v>
      </c>
      <c r="V844" s="5">
        <v>43689</v>
      </c>
      <c r="W844" s="5">
        <v>42315</v>
      </c>
      <c r="X844" s="1">
        <v>6850000</v>
      </c>
      <c r="Y844" s="1">
        <v>6850000</v>
      </c>
      <c r="Z844" s="5">
        <v>42315</v>
      </c>
      <c r="AA844" s="1">
        <v>6975013</v>
      </c>
      <c r="AB844" s="1" t="s">
        <v>659</v>
      </c>
      <c r="AC844" s="5">
        <v>42789</v>
      </c>
      <c r="AF844" s="1">
        <v>10014</v>
      </c>
      <c r="AI844" s="1" t="s">
        <v>67</v>
      </c>
      <c r="AJ844" s="1">
        <v>2015</v>
      </c>
      <c r="AK844" s="1" t="s">
        <v>87</v>
      </c>
      <c r="AL844" s="1">
        <v>38</v>
      </c>
    </row>
    <row r="845" spans="1:38" x14ac:dyDescent="0.2">
      <c r="A845" s="2" t="str">
        <f>HYPERLINK("https://www.compass.com/listing/275-west-10th-street-unit-5b-manhattan-ny-10014/13087392206552721/","275 W 10th St, Unit 5B")</f>
        <v>275 W 10th St, Unit 5B</v>
      </c>
      <c r="B845" s="2" t="str">
        <f t="shared" si="146"/>
        <v>The Shephard</v>
      </c>
      <c r="C845" s="1" t="s">
        <v>68</v>
      </c>
      <c r="D845" s="1" t="s">
        <v>41</v>
      </c>
      <c r="E845" s="3">
        <v>7325000</v>
      </c>
      <c r="F845" s="1">
        <v>2538.99480069324</v>
      </c>
      <c r="G845" s="1">
        <v>6</v>
      </c>
      <c r="H845" s="1">
        <v>3</v>
      </c>
      <c r="I845" s="1">
        <v>4</v>
      </c>
      <c r="J845" s="1">
        <v>3.5</v>
      </c>
      <c r="K845" s="1">
        <v>3</v>
      </c>
      <c r="L845" s="1">
        <v>1</v>
      </c>
      <c r="M845" s="4">
        <v>2885</v>
      </c>
      <c r="N845" s="1">
        <v>2651</v>
      </c>
      <c r="O845" s="1">
        <v>6123</v>
      </c>
      <c r="P845" s="1">
        <v>3472</v>
      </c>
      <c r="Q845" s="1" t="s">
        <v>42</v>
      </c>
      <c r="S845" s="1" t="s">
        <v>42</v>
      </c>
      <c r="T845" s="1" t="s">
        <v>203</v>
      </c>
      <c r="U845" s="1">
        <v>783</v>
      </c>
      <c r="V845" s="5">
        <v>43480</v>
      </c>
      <c r="W845" s="5">
        <v>42390</v>
      </c>
      <c r="X845" s="1">
        <v>8450000</v>
      </c>
      <c r="Y845" s="1">
        <v>8450000</v>
      </c>
      <c r="AA845" s="1">
        <v>7325000</v>
      </c>
      <c r="AB845" s="1" t="s">
        <v>644</v>
      </c>
      <c r="AC845" s="5">
        <v>43524</v>
      </c>
      <c r="AF845" s="1">
        <v>10014</v>
      </c>
      <c r="AI845" s="1" t="s">
        <v>86</v>
      </c>
      <c r="AJ845" s="1">
        <v>2015</v>
      </c>
      <c r="AK845" s="1" t="s">
        <v>87</v>
      </c>
      <c r="AL845" s="1">
        <v>38</v>
      </c>
    </row>
    <row r="846" spans="1:38" x14ac:dyDescent="0.2">
      <c r="A846" s="2" t="str">
        <f>HYPERLINK("https://www.compass.com/listing/275-west-10th-street-unit-7e-manhattan-ny-10014/29368596098466113/","275 W 10th St, Unit 7E")</f>
        <v>275 W 10th St, Unit 7E</v>
      </c>
      <c r="B846" s="2" t="str">
        <f t="shared" si="146"/>
        <v>The Shephard</v>
      </c>
      <c r="C846" s="1" t="s">
        <v>68</v>
      </c>
      <c r="D846" s="1" t="s">
        <v>41</v>
      </c>
      <c r="E846" s="3">
        <v>9300000</v>
      </c>
      <c r="F846" s="1">
        <v>2967.45373324824</v>
      </c>
      <c r="G846" s="1">
        <v>5</v>
      </c>
      <c r="H846" s="1">
        <v>3</v>
      </c>
      <c r="I846" s="1">
        <v>4</v>
      </c>
      <c r="J846" s="1">
        <v>3.5</v>
      </c>
      <c r="M846" s="4">
        <v>3134</v>
      </c>
      <c r="N846" s="1">
        <v>2880</v>
      </c>
      <c r="O846" s="1">
        <v>6652</v>
      </c>
      <c r="P846" s="1">
        <v>3772</v>
      </c>
      <c r="Q846" s="1" t="s">
        <v>42</v>
      </c>
      <c r="S846" s="1" t="s">
        <v>42</v>
      </c>
      <c r="T846" s="1" t="s">
        <v>203</v>
      </c>
      <c r="U846" s="1">
        <v>377</v>
      </c>
      <c r="V846" s="5">
        <v>43689</v>
      </c>
      <c r="W846" s="5">
        <v>42389</v>
      </c>
      <c r="X846" s="1">
        <v>10150000</v>
      </c>
      <c r="Y846" s="1">
        <v>9500000</v>
      </c>
      <c r="Z846" s="5">
        <v>42766</v>
      </c>
      <c r="AA846" s="1">
        <v>9300000</v>
      </c>
      <c r="AB846" s="1" t="s">
        <v>660</v>
      </c>
      <c r="AC846" s="5">
        <v>42832</v>
      </c>
      <c r="AF846" s="1">
        <v>10014</v>
      </c>
      <c r="AI846" s="1" t="s">
        <v>67</v>
      </c>
      <c r="AJ846" s="1">
        <v>2015</v>
      </c>
      <c r="AK846" s="1" t="s">
        <v>87</v>
      </c>
      <c r="AL846" s="1">
        <v>38</v>
      </c>
    </row>
    <row r="847" spans="1:38" x14ac:dyDescent="0.2">
      <c r="A847" s="2" t="str">
        <f>HYPERLINK("https://www.compass.com/listing/275-west-10th-street-unit-11b-manhattan-ny-10014/29368601752388033/","275 W 10th St, Unit 11B")</f>
        <v>275 W 10th St, Unit 11B</v>
      </c>
      <c r="B847" s="2" t="str">
        <f t="shared" si="146"/>
        <v>The Shephard</v>
      </c>
      <c r="C847" s="1" t="s">
        <v>68</v>
      </c>
      <c r="D847" s="1" t="s">
        <v>41</v>
      </c>
      <c r="E847" s="3">
        <v>9650000</v>
      </c>
      <c r="F847" s="1">
        <v>3344.8873483535499</v>
      </c>
      <c r="G847" s="1">
        <v>5</v>
      </c>
      <c r="H847" s="1">
        <v>3</v>
      </c>
      <c r="I847" s="1">
        <v>4</v>
      </c>
      <c r="J847" s="1">
        <v>3.5</v>
      </c>
      <c r="M847" s="4">
        <v>2885</v>
      </c>
      <c r="N847" s="1">
        <v>2659</v>
      </c>
      <c r="O847" s="1">
        <v>6141</v>
      </c>
      <c r="P847" s="1">
        <v>3482</v>
      </c>
      <c r="Q847" s="1" t="s">
        <v>661</v>
      </c>
      <c r="S847" s="1" t="s">
        <v>345</v>
      </c>
      <c r="T847" s="1" t="s">
        <v>203</v>
      </c>
      <c r="U847" s="1">
        <v>81</v>
      </c>
      <c r="V847" s="5">
        <v>43664</v>
      </c>
      <c r="W847" s="5">
        <v>42273</v>
      </c>
      <c r="X847" s="1">
        <v>9650000</v>
      </c>
      <c r="Y847" s="1">
        <v>9650000</v>
      </c>
      <c r="Z847" s="5">
        <v>42354</v>
      </c>
      <c r="AA847" s="1">
        <v>9650000</v>
      </c>
      <c r="AB847" s="1" t="s">
        <v>653</v>
      </c>
      <c r="AC847" s="5">
        <v>42779</v>
      </c>
      <c r="AF847" s="1">
        <v>10014</v>
      </c>
      <c r="AI847" s="1" t="s">
        <v>67</v>
      </c>
      <c r="AJ847" s="1">
        <v>2015</v>
      </c>
      <c r="AK847" s="1" t="s">
        <v>55</v>
      </c>
      <c r="AL847" s="1">
        <v>38</v>
      </c>
    </row>
    <row r="848" spans="1:38" x14ac:dyDescent="0.2">
      <c r="A848" s="2" t="str">
        <f>HYPERLINK("https://www.compass.com/listing/275-west-10th-street-unit-12-a-manhattan-ny-10014/36018149476290561/","275 W 10th St, Unit 12/A")</f>
        <v>275 W 10th St, Unit 12/A</v>
      </c>
      <c r="B848" s="2" t="str">
        <f t="shared" si="146"/>
        <v>The Shephard</v>
      </c>
      <c r="C848" s="1" t="s">
        <v>68</v>
      </c>
      <c r="D848" s="1" t="s">
        <v>41</v>
      </c>
      <c r="E848" s="3">
        <v>9877025</v>
      </c>
      <c r="F848" s="1">
        <v>3297.8380634390601</v>
      </c>
      <c r="G848" s="1">
        <v>6</v>
      </c>
      <c r="H848" s="1">
        <v>3</v>
      </c>
      <c r="I848" s="1">
        <v>4</v>
      </c>
      <c r="J848" s="1">
        <v>3.5</v>
      </c>
      <c r="K848" s="1">
        <v>3</v>
      </c>
      <c r="L848" s="1">
        <v>1</v>
      </c>
      <c r="M848" s="4">
        <v>2995</v>
      </c>
      <c r="N848" s="1">
        <v>2752</v>
      </c>
      <c r="O848" s="1">
        <v>6356</v>
      </c>
      <c r="P848" s="1">
        <v>3604</v>
      </c>
      <c r="Q848" s="1" t="s">
        <v>42</v>
      </c>
      <c r="S848" s="1" t="s">
        <v>42</v>
      </c>
      <c r="T848" s="1" t="s">
        <v>203</v>
      </c>
      <c r="U848" s="1">
        <v>252</v>
      </c>
      <c r="V848" s="5">
        <v>43678</v>
      </c>
      <c r="W848" s="5">
        <v>43302</v>
      </c>
      <c r="X848" s="1">
        <v>10250000</v>
      </c>
      <c r="Y848" s="1">
        <v>9950000</v>
      </c>
      <c r="Z848" s="5">
        <v>43554</v>
      </c>
      <c r="AA848" s="1">
        <v>9877025</v>
      </c>
      <c r="AB848" s="1" t="s">
        <v>662</v>
      </c>
      <c r="AC848" s="5">
        <v>43599</v>
      </c>
      <c r="AF848" s="1">
        <v>10014</v>
      </c>
      <c r="AI848" s="1" t="s">
        <v>86</v>
      </c>
      <c r="AJ848" s="1">
        <v>2015</v>
      </c>
      <c r="AK848" s="1" t="s">
        <v>87</v>
      </c>
      <c r="AL848" s="1">
        <v>38</v>
      </c>
    </row>
    <row r="849" spans="1:38" x14ac:dyDescent="0.2">
      <c r="A849" s="2" t="str">
        <f>HYPERLINK("https://www.compass.com/listing/275-west-10th-street-unit-3b-manhattan-ny-10014/70927522031731857/","275 W 10th St, Unit 3B")</f>
        <v>275 W 10th St, Unit 3B</v>
      </c>
      <c r="B849" s="2" t="str">
        <f t="shared" si="146"/>
        <v>The Shephard</v>
      </c>
      <c r="C849" s="1" t="s">
        <v>68</v>
      </c>
      <c r="D849" s="1" t="s">
        <v>41</v>
      </c>
      <c r="E849" s="3">
        <v>7695000</v>
      </c>
      <c r="F849" s="1">
        <v>2667.2443674176702</v>
      </c>
      <c r="G849" s="1">
        <v>6</v>
      </c>
      <c r="H849" s="1">
        <v>3</v>
      </c>
      <c r="I849" s="1">
        <v>4</v>
      </c>
      <c r="J849" s="1">
        <v>3.5</v>
      </c>
      <c r="M849" s="4">
        <v>2885</v>
      </c>
      <c r="N849" s="1">
        <v>2651</v>
      </c>
      <c r="O849" s="1">
        <v>6123</v>
      </c>
      <c r="P849" s="1">
        <v>3472</v>
      </c>
      <c r="Q849" s="1" t="s">
        <v>42</v>
      </c>
      <c r="S849" s="1" t="s">
        <v>42</v>
      </c>
      <c r="T849" s="1" t="s">
        <v>203</v>
      </c>
      <c r="U849" s="1">
        <v>184</v>
      </c>
      <c r="V849" s="5">
        <v>43694</v>
      </c>
      <c r="W849" s="5">
        <v>42704</v>
      </c>
      <c r="X849" s="1">
        <v>7895000</v>
      </c>
      <c r="Y849" s="1">
        <v>7895000</v>
      </c>
      <c r="Z849" s="5">
        <v>43022</v>
      </c>
      <c r="AA849" s="1">
        <v>7695000</v>
      </c>
      <c r="AB849" s="1" t="s">
        <v>654</v>
      </c>
      <c r="AC849" s="5">
        <v>43049</v>
      </c>
      <c r="AF849" s="1">
        <v>10014</v>
      </c>
      <c r="AI849" s="1" t="s">
        <v>67</v>
      </c>
      <c r="AJ849" s="1">
        <v>2015</v>
      </c>
      <c r="AK849" s="1" t="s">
        <v>81</v>
      </c>
      <c r="AL849" s="1">
        <v>38</v>
      </c>
    </row>
    <row r="850" spans="1:38" x14ac:dyDescent="0.2">
      <c r="A850" s="2" t="str">
        <f>HYPERLINK("https://www.compass.com/listing/200-east-21st-street-unit-15d-manhattan-ny-10010/258481209041077105/","200 E 21st St, Unit 15D")</f>
        <v>200 E 21st St, Unit 15D</v>
      </c>
      <c r="B850" s="2" t="str">
        <f>HYPERLINK("https://www.compass.com/building/200-east-21st-street-manhattan-ny/292796762689658005/","200 East 21st Street")</f>
        <v>200 East 21st Street</v>
      </c>
      <c r="C850" s="1" t="s">
        <v>101</v>
      </c>
      <c r="D850" s="1" t="s">
        <v>41</v>
      </c>
      <c r="E850" s="3">
        <v>3342956</v>
      </c>
      <c r="F850" s="1">
        <v>2283.4400614754099</v>
      </c>
      <c r="G850" s="1">
        <v>4.5</v>
      </c>
      <c r="H850" s="1">
        <v>2</v>
      </c>
      <c r="I850" s="1">
        <v>3</v>
      </c>
      <c r="J850" s="1">
        <v>2.5</v>
      </c>
      <c r="K850" s="1">
        <v>2</v>
      </c>
      <c r="L850" s="1">
        <v>1</v>
      </c>
      <c r="M850" s="4">
        <v>1464</v>
      </c>
      <c r="N850" s="1">
        <v>1472</v>
      </c>
      <c r="O850" s="1">
        <v>4238</v>
      </c>
      <c r="P850" s="1">
        <v>2766</v>
      </c>
      <c r="Q850" s="1" t="s">
        <v>42</v>
      </c>
      <c r="S850" s="1" t="s">
        <v>42</v>
      </c>
      <c r="T850" s="1" t="s">
        <v>203</v>
      </c>
      <c r="V850" s="5">
        <v>43719</v>
      </c>
      <c r="W850" s="5">
        <v>43609</v>
      </c>
      <c r="X850" s="1">
        <v>3445000</v>
      </c>
      <c r="Y850" s="1">
        <v>3445000</v>
      </c>
      <c r="Z850" s="5">
        <v>43609</v>
      </c>
      <c r="AA850" s="1">
        <v>3342956.25</v>
      </c>
      <c r="AB850" s="1" t="s">
        <v>663</v>
      </c>
      <c r="AC850" s="5">
        <v>43684</v>
      </c>
      <c r="AF850" s="1">
        <v>10010</v>
      </c>
      <c r="AI850" s="1" t="s">
        <v>601</v>
      </c>
      <c r="AJ850" s="1">
        <v>2018</v>
      </c>
      <c r="AK850" s="1" t="s">
        <v>55</v>
      </c>
      <c r="AL850" s="1">
        <v>67</v>
      </c>
    </row>
    <row r="851" spans="1:38" x14ac:dyDescent="0.2">
      <c r="A851" s="2" t="str">
        <f>HYPERLINK("https://www.compass.com/listing/225-west-86th-street-unit-111a-manhattan-ny-10024/29508821655250209/","225 W 86th St, Unit 111A")</f>
        <v>225 W 86th St, Unit 111A</v>
      </c>
      <c r="B851" s="2" t="str">
        <f>HYPERLINK("https://www.compass.com/building/the-belnord-manhattan-ny/292869672083214101/","The Belnord")</f>
        <v>The Belnord</v>
      </c>
      <c r="C851" s="1" t="s">
        <v>47</v>
      </c>
      <c r="D851" s="1" t="s">
        <v>41</v>
      </c>
      <c r="E851" s="3">
        <v>1598300</v>
      </c>
      <c r="F851" s="1">
        <v>1109.93055555555</v>
      </c>
      <c r="G851" s="1">
        <v>4</v>
      </c>
      <c r="H851" s="1">
        <v>2</v>
      </c>
      <c r="I851" s="1">
        <v>3</v>
      </c>
      <c r="J851" s="1">
        <v>2.5</v>
      </c>
      <c r="K851" s="1">
        <v>2</v>
      </c>
      <c r="L851" s="1">
        <v>1</v>
      </c>
      <c r="M851" s="4">
        <v>1440</v>
      </c>
      <c r="N851" s="1">
        <v>1208</v>
      </c>
      <c r="O851" s="1">
        <v>3092</v>
      </c>
      <c r="P851" s="1">
        <v>1884</v>
      </c>
      <c r="Q851" s="1" t="s">
        <v>42</v>
      </c>
      <c r="S851" s="1" t="s">
        <v>42</v>
      </c>
      <c r="T851" s="1" t="s">
        <v>203</v>
      </c>
      <c r="U851" s="1">
        <v>97</v>
      </c>
      <c r="V851" s="5">
        <v>43746</v>
      </c>
      <c r="W851" s="5">
        <v>43279</v>
      </c>
      <c r="X851" s="1">
        <v>3200000</v>
      </c>
      <c r="Y851" s="1">
        <v>3200000</v>
      </c>
      <c r="AA851" s="1">
        <v>1598300</v>
      </c>
      <c r="AB851" s="1" t="s">
        <v>204</v>
      </c>
      <c r="AC851" s="5">
        <v>43376</v>
      </c>
      <c r="AF851" s="1">
        <v>10024</v>
      </c>
      <c r="AI851" s="1" t="s">
        <v>67</v>
      </c>
      <c r="AJ851" s="1">
        <v>1908</v>
      </c>
      <c r="AK851" s="1" t="s">
        <v>81</v>
      </c>
      <c r="AL851" s="1">
        <v>213</v>
      </c>
    </row>
    <row r="852" spans="1:38" x14ac:dyDescent="0.2">
      <c r="A852" s="2" t="str">
        <f>HYPERLINK("https://www.compass.com/listing/30-park-place-unit-39c-manhattan-ny-10007/131556171797559393/","30 Park Pl, Unit 39C")</f>
        <v>30 Park Pl, Unit 39C</v>
      </c>
      <c r="B852" s="2" t="str">
        <f t="shared" ref="B852:B854" si="147">HYPERLINK("https://www.compass.com/building/30-park-pl-manhattan-ny-10007/281896912905317605/","30 Park Pl")</f>
        <v>30 Park Pl</v>
      </c>
      <c r="C852" s="1" t="s">
        <v>40</v>
      </c>
      <c r="D852" s="1" t="s">
        <v>41</v>
      </c>
      <c r="E852" s="3">
        <v>1781938</v>
      </c>
      <c r="F852" s="1">
        <v>2194.5043103448202</v>
      </c>
      <c r="H852" s="1">
        <v>1</v>
      </c>
      <c r="J852" s="1">
        <v>1</v>
      </c>
      <c r="K852" s="1">
        <v>1</v>
      </c>
      <c r="M852" s="1">
        <v>812</v>
      </c>
      <c r="N852" s="1">
        <v>665</v>
      </c>
      <c r="O852" s="1">
        <v>2369</v>
      </c>
      <c r="P852" s="1">
        <v>1704</v>
      </c>
      <c r="Q852" s="1" t="s">
        <v>42</v>
      </c>
      <c r="S852" s="1" t="s">
        <v>42</v>
      </c>
      <c r="T852" s="1" t="s">
        <v>203</v>
      </c>
      <c r="AA852" s="1">
        <v>1781937.5</v>
      </c>
      <c r="AB852" s="1" t="s">
        <v>664</v>
      </c>
      <c r="AC852" s="5">
        <v>43420</v>
      </c>
      <c r="AF852" s="1">
        <v>10007</v>
      </c>
      <c r="AJ852" s="1">
        <v>2016</v>
      </c>
      <c r="AK852" s="1" t="s">
        <v>50</v>
      </c>
      <c r="AL852" s="1">
        <v>157</v>
      </c>
    </row>
    <row r="853" spans="1:38" x14ac:dyDescent="0.2">
      <c r="A853" s="2" t="str">
        <f>HYPERLINK("https://www.compass.com/listing/30-park-place-unit-39g-manhattan-ny-10007/136625776962309473/","30 Park Pl, Unit 39G")</f>
        <v>30 Park Pl, Unit 39G</v>
      </c>
      <c r="B853" s="2" t="str">
        <f t="shared" si="147"/>
        <v>30 Park Pl</v>
      </c>
      <c r="C853" s="1" t="s">
        <v>40</v>
      </c>
      <c r="D853" s="1" t="s">
        <v>41</v>
      </c>
      <c r="E853" s="3">
        <v>1713546</v>
      </c>
      <c r="F853" s="1">
        <v>2337.7157025920801</v>
      </c>
      <c r="H853" s="1">
        <v>1</v>
      </c>
      <c r="J853" s="1">
        <v>1</v>
      </c>
      <c r="K853" s="1">
        <v>1</v>
      </c>
      <c r="M853" s="1">
        <v>733</v>
      </c>
      <c r="N853" s="1">
        <v>625.33000000000004</v>
      </c>
      <c r="O853" s="1">
        <v>2153.66</v>
      </c>
      <c r="P853" s="1">
        <v>1528.3333333333301</v>
      </c>
      <c r="Q853" s="1" t="s">
        <v>42</v>
      </c>
      <c r="S853" s="1" t="s">
        <v>42</v>
      </c>
      <c r="T853" s="1" t="s">
        <v>203</v>
      </c>
      <c r="AA853" s="1">
        <v>1713545.61</v>
      </c>
      <c r="AB853" s="1" t="s">
        <v>665</v>
      </c>
      <c r="AC853" s="5">
        <v>43420</v>
      </c>
      <c r="AF853" s="1">
        <v>10007</v>
      </c>
      <c r="AJ853" s="1">
        <v>2016</v>
      </c>
      <c r="AK853" s="1" t="s">
        <v>50</v>
      </c>
      <c r="AL853" s="1">
        <v>157</v>
      </c>
    </row>
    <row r="854" spans="1:38" x14ac:dyDescent="0.2">
      <c r="A854" s="2" t="str">
        <f>HYPERLINK("https://www.compass.com/listing/30-park-place-unit-41c-manhattan-ny-10007/841540746234390049/","30 Park Pl, Unit 41C")</f>
        <v>30 Park Pl, Unit 41C</v>
      </c>
      <c r="B854" s="2" t="str">
        <f t="shared" si="147"/>
        <v>30 Park Pl</v>
      </c>
      <c r="C854" s="1" t="s">
        <v>40</v>
      </c>
      <c r="D854" s="1" t="s">
        <v>41</v>
      </c>
      <c r="E854" s="3">
        <v>2600000</v>
      </c>
      <c r="F854" s="1">
        <v>2346.5703971119101</v>
      </c>
      <c r="H854" s="1">
        <v>1</v>
      </c>
      <c r="J854" s="1">
        <v>1.5</v>
      </c>
      <c r="K854" s="1">
        <v>1</v>
      </c>
      <c r="L854" s="1">
        <v>1</v>
      </c>
      <c r="M854" s="4">
        <v>1108</v>
      </c>
      <c r="N854" s="1">
        <v>918.83</v>
      </c>
      <c r="O854" s="1">
        <v>3299.25</v>
      </c>
      <c r="P854" s="1">
        <v>2380.4166666666601</v>
      </c>
      <c r="Q854" s="1" t="s">
        <v>42</v>
      </c>
      <c r="S854" s="1" t="s">
        <v>42</v>
      </c>
      <c r="T854" s="1" t="s">
        <v>203</v>
      </c>
      <c r="AA854" s="1">
        <v>2600000</v>
      </c>
      <c r="AB854" s="1" t="s">
        <v>666</v>
      </c>
      <c r="AC854" s="5">
        <v>44055</v>
      </c>
      <c r="AF854" s="1">
        <v>10007</v>
      </c>
      <c r="AJ854" s="1">
        <v>2016</v>
      </c>
      <c r="AK854" s="1" t="s">
        <v>50</v>
      </c>
      <c r="AL854" s="1">
        <v>157</v>
      </c>
    </row>
    <row r="855" spans="1:38" x14ac:dyDescent="0.2">
      <c r="A855" s="2" t="str">
        <f>HYPERLINK("https://www.compass.com/listing/189-avenue-c-unit-4a-manhattan-ny-10009/29361145563428321/","189 Avenue C, Unit 4A")</f>
        <v>189 Avenue C, Unit 4A</v>
      </c>
      <c r="B855" s="2" t="str">
        <f>HYPERLINK("https://www.compass.com/building/the-calyx-manhattan-ny/426959097439640773/","The Calyx")</f>
        <v>The Calyx</v>
      </c>
      <c r="C855" s="1" t="s">
        <v>88</v>
      </c>
      <c r="D855" s="1" t="s">
        <v>41</v>
      </c>
      <c r="E855" s="3">
        <v>635000</v>
      </c>
      <c r="F855" s="1">
        <v>946.34873323397903</v>
      </c>
      <c r="G855" s="1">
        <v>2</v>
      </c>
      <c r="H855" s="1" t="s">
        <v>77</v>
      </c>
      <c r="I855" s="1">
        <v>1</v>
      </c>
      <c r="J855" s="1">
        <v>1</v>
      </c>
      <c r="K855" s="1">
        <v>1</v>
      </c>
      <c r="M855" s="1">
        <v>671</v>
      </c>
      <c r="N855" s="1">
        <v>503</v>
      </c>
      <c r="O855" s="1">
        <v>972</v>
      </c>
      <c r="P855" s="1">
        <v>469</v>
      </c>
      <c r="Q855" s="1" t="s">
        <v>42</v>
      </c>
      <c r="S855" s="1" t="s">
        <v>42</v>
      </c>
      <c r="T855" s="1" t="s">
        <v>203</v>
      </c>
      <c r="U855" s="1">
        <v>49</v>
      </c>
      <c r="V855" s="5">
        <v>43631</v>
      </c>
      <c r="W855" s="5">
        <v>42907</v>
      </c>
      <c r="X855" s="1">
        <v>685000</v>
      </c>
      <c r="Y855" s="1">
        <v>685000</v>
      </c>
      <c r="Z855" s="5">
        <v>42956</v>
      </c>
      <c r="AA855" s="1">
        <v>635000</v>
      </c>
      <c r="AB855" s="1" t="s">
        <v>667</v>
      </c>
      <c r="AC855" s="5">
        <v>42979</v>
      </c>
      <c r="AF855" s="1">
        <v>10009</v>
      </c>
      <c r="AI855" s="1" t="s">
        <v>315</v>
      </c>
      <c r="AJ855" s="1">
        <v>2011</v>
      </c>
      <c r="AK855" s="1" t="s">
        <v>140</v>
      </c>
      <c r="AL855" s="1">
        <v>35</v>
      </c>
    </row>
    <row r="856" spans="1:38" x14ac:dyDescent="0.2">
      <c r="A856" s="2" t="str">
        <f>HYPERLINK("https://www.compass.com/listing/275-west-10th-street-unit-11-d-manhattan-ny-10014/33294059145581889/","275 W 10th St, Unit 11/D")</f>
        <v>275 W 10th St, Unit 11/D</v>
      </c>
      <c r="B856" s="2" t="str">
        <f t="shared" ref="B856:B859" si="148">HYPERLINK("https://www.compass.com/building/the-shephard-manhattan-ny/281931968864632917/","The Shephard")</f>
        <v>The Shephard</v>
      </c>
      <c r="C856" s="1" t="s">
        <v>68</v>
      </c>
      <c r="D856" s="1" t="s">
        <v>41</v>
      </c>
      <c r="E856" s="3">
        <v>11000000</v>
      </c>
      <c r="F856" s="1">
        <v>2921.6467463479398</v>
      </c>
      <c r="G856" s="1">
        <v>9</v>
      </c>
      <c r="H856" s="1">
        <v>4</v>
      </c>
      <c r="I856" s="1">
        <v>5</v>
      </c>
      <c r="J856" s="1">
        <v>4.5</v>
      </c>
      <c r="K856" s="1">
        <v>4</v>
      </c>
      <c r="L856" s="1">
        <v>1</v>
      </c>
      <c r="M856" s="4">
        <v>3765</v>
      </c>
      <c r="N856" s="1">
        <v>3460</v>
      </c>
      <c r="O856" s="1">
        <v>7991</v>
      </c>
      <c r="P856" s="1">
        <v>4531</v>
      </c>
      <c r="Q856" s="1" t="s">
        <v>42</v>
      </c>
      <c r="S856" s="1" t="s">
        <v>42</v>
      </c>
      <c r="T856" s="1" t="s">
        <v>203</v>
      </c>
      <c r="U856" s="1">
        <v>290</v>
      </c>
      <c r="V856" s="5">
        <v>43694</v>
      </c>
      <c r="W856" s="5">
        <v>43298</v>
      </c>
      <c r="X856" s="1">
        <v>11750000</v>
      </c>
      <c r="Y856" s="1">
        <v>11750000</v>
      </c>
      <c r="Z856" s="5">
        <v>43588</v>
      </c>
      <c r="AA856" s="1">
        <v>11000000</v>
      </c>
      <c r="AB856" s="1" t="s">
        <v>668</v>
      </c>
      <c r="AC856" s="5">
        <v>43628</v>
      </c>
      <c r="AF856" s="1">
        <v>10014</v>
      </c>
      <c r="AI856" s="1" t="s">
        <v>86</v>
      </c>
      <c r="AJ856" s="1">
        <v>2015</v>
      </c>
      <c r="AK856" s="1" t="s">
        <v>87</v>
      </c>
      <c r="AL856" s="1">
        <v>38</v>
      </c>
    </row>
    <row r="857" spans="1:38" x14ac:dyDescent="0.2">
      <c r="A857" s="2" t="str">
        <f>HYPERLINK("https://www.compass.com/listing/275-west-10th-street-unit-2d-manhattan-ny-10014/29368589832175793/","275 W 10th St, Unit 2D")</f>
        <v>275 W 10th St, Unit 2D</v>
      </c>
      <c r="B857" s="2" t="str">
        <f t="shared" si="148"/>
        <v>The Shephard</v>
      </c>
      <c r="C857" s="1" t="s">
        <v>68</v>
      </c>
      <c r="D857" s="1" t="s">
        <v>41</v>
      </c>
      <c r="E857" s="3">
        <v>9350000</v>
      </c>
      <c r="F857" s="1">
        <v>2981.50510204081</v>
      </c>
      <c r="G857" s="1">
        <v>8</v>
      </c>
      <c r="H857" s="1">
        <v>3</v>
      </c>
      <c r="I857" s="1">
        <v>4</v>
      </c>
      <c r="J857" s="1">
        <v>0.5</v>
      </c>
      <c r="L857" s="1">
        <v>1</v>
      </c>
      <c r="M857" s="4">
        <v>3136</v>
      </c>
      <c r="N857" s="1">
        <v>2882</v>
      </c>
      <c r="O857" s="1">
        <v>6656</v>
      </c>
      <c r="P857" s="1">
        <v>3774</v>
      </c>
      <c r="Q857" s="1" t="s">
        <v>42</v>
      </c>
      <c r="S857" s="1" t="s">
        <v>42</v>
      </c>
      <c r="T857" s="1" t="s">
        <v>203</v>
      </c>
      <c r="V857" s="5">
        <v>43694</v>
      </c>
      <c r="W857" s="5">
        <v>42453</v>
      </c>
      <c r="X857" s="1">
        <v>9350000</v>
      </c>
      <c r="Y857" s="1">
        <v>9350000</v>
      </c>
      <c r="Z857" s="5">
        <v>42453</v>
      </c>
      <c r="AA857" s="1">
        <v>9350000</v>
      </c>
      <c r="AB857" s="1" t="s">
        <v>669</v>
      </c>
      <c r="AC857" s="5">
        <v>42983</v>
      </c>
      <c r="AF857" s="1">
        <v>10014</v>
      </c>
      <c r="AI857" s="1" t="s">
        <v>86</v>
      </c>
      <c r="AJ857" s="1">
        <v>2015</v>
      </c>
      <c r="AK857" s="1" t="s">
        <v>87</v>
      </c>
      <c r="AL857" s="1">
        <v>38</v>
      </c>
    </row>
    <row r="858" spans="1:38" x14ac:dyDescent="0.2">
      <c r="A858" s="2" t="str">
        <f>HYPERLINK("https://www.compass.com/listing/275-west-10th-street-unit-8b-manhattan-ny-10014/29368597096755553/","275 W 10th St, Unit 8B")</f>
        <v>275 W 10th St, Unit 8B</v>
      </c>
      <c r="B858" s="2" t="str">
        <f t="shared" si="148"/>
        <v>The Shephard</v>
      </c>
      <c r="C858" s="1" t="s">
        <v>68</v>
      </c>
      <c r="D858" s="1" t="s">
        <v>41</v>
      </c>
      <c r="E858" s="3">
        <v>6975012</v>
      </c>
      <c r="F858" s="1">
        <v>2991</v>
      </c>
      <c r="G858" s="1">
        <v>4</v>
      </c>
      <c r="H858" s="1">
        <v>2</v>
      </c>
      <c r="I858" s="1">
        <v>3</v>
      </c>
      <c r="J858" s="1">
        <v>0.5</v>
      </c>
      <c r="L858" s="1">
        <v>1</v>
      </c>
      <c r="M858" s="4">
        <v>2332</v>
      </c>
      <c r="N858" s="1">
        <v>2150</v>
      </c>
      <c r="O858" s="1">
        <v>4965</v>
      </c>
      <c r="P858" s="1">
        <v>2815</v>
      </c>
      <c r="Q858" s="1" t="s">
        <v>42</v>
      </c>
      <c r="S858" s="1" t="s">
        <v>42</v>
      </c>
      <c r="T858" s="1" t="s">
        <v>203</v>
      </c>
      <c r="V858" s="5">
        <v>43694</v>
      </c>
      <c r="W858" s="5">
        <v>42315</v>
      </c>
      <c r="X858" s="1">
        <v>6850000</v>
      </c>
      <c r="Y858" s="1">
        <v>6850000</v>
      </c>
      <c r="Z858" s="5">
        <v>42315</v>
      </c>
      <c r="AA858" s="1">
        <v>6975012</v>
      </c>
      <c r="AB858" s="1" t="s">
        <v>659</v>
      </c>
      <c r="AC858" s="5">
        <v>42789</v>
      </c>
      <c r="AF858" s="1">
        <v>10014</v>
      </c>
      <c r="AI858" s="1" t="s">
        <v>86</v>
      </c>
      <c r="AJ858" s="1">
        <v>2015</v>
      </c>
      <c r="AK858" s="1" t="s">
        <v>87</v>
      </c>
      <c r="AL858" s="1">
        <v>38</v>
      </c>
    </row>
    <row r="859" spans="1:38" x14ac:dyDescent="0.2">
      <c r="A859" s="2" t="str">
        <f>HYPERLINK("https://www.compass.com/listing/275-west-10th-street-unit-10c-manhattan-ny-10014/29368600653521873/","275 W 10th St, Unit 10C")</f>
        <v>275 W 10th St, Unit 10C</v>
      </c>
      <c r="B859" s="2" t="str">
        <f t="shared" si="148"/>
        <v>The Shephard</v>
      </c>
      <c r="C859" s="1" t="s">
        <v>68</v>
      </c>
      <c r="D859" s="1" t="s">
        <v>41</v>
      </c>
      <c r="E859" s="3">
        <v>6771362</v>
      </c>
      <c r="F859" s="1">
        <v>3080.6924476796999</v>
      </c>
      <c r="G859" s="1">
        <v>5</v>
      </c>
      <c r="H859" s="1">
        <v>3</v>
      </c>
      <c r="I859" s="1">
        <v>4</v>
      </c>
      <c r="J859" s="1">
        <v>0.5</v>
      </c>
      <c r="L859" s="1">
        <v>1</v>
      </c>
      <c r="M859" s="4">
        <v>2198</v>
      </c>
      <c r="N859" s="1">
        <v>2026</v>
      </c>
      <c r="O859" s="1">
        <v>4679</v>
      </c>
      <c r="P859" s="1">
        <v>2653</v>
      </c>
      <c r="Q859" s="1" t="s">
        <v>42</v>
      </c>
      <c r="S859" s="1" t="s">
        <v>42</v>
      </c>
      <c r="T859" s="1" t="s">
        <v>203</v>
      </c>
      <c r="V859" s="5">
        <v>43694</v>
      </c>
      <c r="W859" s="5">
        <v>42285</v>
      </c>
      <c r="X859" s="1">
        <v>6650000</v>
      </c>
      <c r="Y859" s="1">
        <v>6650000</v>
      </c>
      <c r="Z859" s="5">
        <v>42285</v>
      </c>
      <c r="AA859" s="1">
        <v>6771362</v>
      </c>
      <c r="AB859" s="1" t="s">
        <v>670</v>
      </c>
      <c r="AC859" s="5">
        <v>42795</v>
      </c>
      <c r="AF859" s="1">
        <v>10014</v>
      </c>
      <c r="AI859" s="1" t="s">
        <v>86</v>
      </c>
      <c r="AJ859" s="1">
        <v>2015</v>
      </c>
      <c r="AK859" s="1" t="s">
        <v>87</v>
      </c>
      <c r="AL859" s="1">
        <v>38</v>
      </c>
    </row>
    <row r="860" spans="1:38" x14ac:dyDescent="0.2">
      <c r="A860" s="2" t="str">
        <f>HYPERLINK("https://www.compass.com/listing/200-east-21st-street-unit-18b-manhattan-ny-10010/369551786772875553/","200 E 21st St, Unit 18B")</f>
        <v>200 E 21st St, Unit 18B</v>
      </c>
      <c r="B860" s="2" t="str">
        <f>HYPERLINK("https://www.compass.com/building/200-east-21st-street-manhattan-ny/292796762689658005/","200 East 21st Street")</f>
        <v>200 East 21st Street</v>
      </c>
      <c r="C860" s="1" t="s">
        <v>101</v>
      </c>
      <c r="D860" s="1" t="s">
        <v>41</v>
      </c>
      <c r="E860" s="3">
        <v>6595000</v>
      </c>
      <c r="F860" s="1">
        <v>2567.1467497080498</v>
      </c>
      <c r="G860" s="1">
        <v>6.5</v>
      </c>
      <c r="H860" s="1">
        <v>3</v>
      </c>
      <c r="I860" s="1">
        <v>4</v>
      </c>
      <c r="J860" s="1">
        <v>3.5</v>
      </c>
      <c r="K860" s="1">
        <v>3</v>
      </c>
      <c r="L860" s="1">
        <v>1</v>
      </c>
      <c r="M860" s="4">
        <v>2569</v>
      </c>
      <c r="N860" s="1">
        <v>2678</v>
      </c>
      <c r="O860" s="1">
        <v>4751</v>
      </c>
      <c r="P860" s="1">
        <v>2073</v>
      </c>
      <c r="Q860" s="1" t="s">
        <v>42</v>
      </c>
      <c r="S860" s="1" t="s">
        <v>42</v>
      </c>
      <c r="T860" s="1" t="s">
        <v>203</v>
      </c>
      <c r="V860" s="5">
        <v>43808</v>
      </c>
      <c r="W860" s="5">
        <v>43762</v>
      </c>
      <c r="X860" s="1">
        <v>6700000</v>
      </c>
      <c r="Y860" s="1">
        <v>6700000</v>
      </c>
      <c r="Z860" s="5">
        <v>43762</v>
      </c>
      <c r="AA860" s="1">
        <v>6595000</v>
      </c>
      <c r="AB860" s="1" t="s">
        <v>671</v>
      </c>
      <c r="AC860" s="5">
        <v>43794</v>
      </c>
      <c r="AF860" s="1">
        <v>10010</v>
      </c>
      <c r="AI860" s="1" t="s">
        <v>102</v>
      </c>
      <c r="AJ860" s="1">
        <v>2018</v>
      </c>
      <c r="AK860" s="1" t="s">
        <v>55</v>
      </c>
      <c r="AL860" s="1">
        <v>67</v>
      </c>
    </row>
    <row r="861" spans="1:38" x14ac:dyDescent="0.2">
      <c r="A861" s="2" t="str">
        <f>HYPERLINK("https://www.compass.com/listing/360-central-park-west-unit-15h-manhattan-ny-10025/29508827208582801/","360 Central Park W, Unit 15H")</f>
        <v>360 Central Park W, Unit 15H</v>
      </c>
      <c r="B861" s="2" t="str">
        <f t="shared" ref="B861:B863" si="149">HYPERLINK("https://www.compass.com/building/360-central-park-west-manhattan-ny/281971555427243781/","360 Central Park West")</f>
        <v>360 Central Park West</v>
      </c>
      <c r="C861" s="1" t="s">
        <v>47</v>
      </c>
      <c r="D861" s="1" t="s">
        <v>41</v>
      </c>
      <c r="E861" s="3">
        <v>3049659</v>
      </c>
      <c r="F861" s="1">
        <v>1823.9587320574101</v>
      </c>
      <c r="G861" s="1">
        <v>5</v>
      </c>
      <c r="H861" s="1">
        <v>3</v>
      </c>
      <c r="I861" s="1">
        <v>3</v>
      </c>
      <c r="J861" s="1">
        <v>3</v>
      </c>
      <c r="K861" s="1">
        <v>3</v>
      </c>
      <c r="M861" s="4">
        <v>1672</v>
      </c>
      <c r="N861" s="1">
        <v>1890</v>
      </c>
      <c r="O861" s="1">
        <v>3112</v>
      </c>
      <c r="P861" s="1">
        <v>1222</v>
      </c>
      <c r="Q861" s="1" t="s">
        <v>42</v>
      </c>
      <c r="S861" s="1" t="s">
        <v>42</v>
      </c>
      <c r="T861" s="1" t="s">
        <v>203</v>
      </c>
      <c r="U861" s="1">
        <v>20</v>
      </c>
      <c r="V861" s="5">
        <v>43678</v>
      </c>
      <c r="W861" s="5">
        <v>42424</v>
      </c>
      <c r="X861" s="1">
        <v>2995000</v>
      </c>
      <c r="Y861" s="1">
        <v>2995000</v>
      </c>
      <c r="Z861" s="5">
        <v>42444</v>
      </c>
      <c r="AA861" s="1">
        <v>3049659</v>
      </c>
      <c r="AB861" s="1" t="s">
        <v>672</v>
      </c>
      <c r="AC861" s="5">
        <v>43299</v>
      </c>
      <c r="AF861" s="1">
        <v>10025</v>
      </c>
      <c r="AJ861" s="1">
        <v>1929</v>
      </c>
      <c r="AK861" s="1" t="s">
        <v>428</v>
      </c>
      <c r="AL861" s="1">
        <v>126</v>
      </c>
    </row>
    <row r="862" spans="1:38" x14ac:dyDescent="0.2">
      <c r="A862" s="2" t="str">
        <f>HYPERLINK("https://www.compass.com/listing/360-central-park-west-unit-10a-manhattan-ny-10025/29399276090060609/","360 Central Park W, Unit 10A")</f>
        <v>360 Central Park W, Unit 10A</v>
      </c>
      <c r="B862" s="2" t="str">
        <f t="shared" si="149"/>
        <v>360 Central Park West</v>
      </c>
      <c r="C862" s="1" t="s">
        <v>47</v>
      </c>
      <c r="D862" s="1" t="s">
        <v>41</v>
      </c>
      <c r="E862" s="3">
        <v>4505756</v>
      </c>
      <c r="F862" s="1">
        <v>2345.5262883914602</v>
      </c>
      <c r="G862" s="1">
        <v>5</v>
      </c>
      <c r="H862" s="1">
        <v>3</v>
      </c>
      <c r="I862" s="1">
        <v>3</v>
      </c>
      <c r="J862" s="1">
        <v>2.5</v>
      </c>
      <c r="M862" s="4">
        <v>1921</v>
      </c>
      <c r="N862" s="1">
        <v>2171</v>
      </c>
      <c r="O862" s="1">
        <v>3575</v>
      </c>
      <c r="P862" s="1">
        <v>1404</v>
      </c>
      <c r="Q862" s="1" t="s">
        <v>42</v>
      </c>
      <c r="S862" s="1" t="s">
        <v>42</v>
      </c>
      <c r="T862" s="1" t="s">
        <v>203</v>
      </c>
      <c r="U862" s="1">
        <v>35</v>
      </c>
      <c r="V862" s="5">
        <v>43641</v>
      </c>
      <c r="W862" s="5">
        <v>42185</v>
      </c>
      <c r="X862" s="1">
        <v>4425000</v>
      </c>
      <c r="Y862" s="1">
        <v>4425000</v>
      </c>
      <c r="Z862" s="5">
        <v>42220</v>
      </c>
      <c r="AA862" s="1">
        <v>4505756</v>
      </c>
      <c r="AB862" s="1" t="s">
        <v>673</v>
      </c>
      <c r="AC862" s="5">
        <v>43132</v>
      </c>
      <c r="AF862" s="1">
        <v>10025</v>
      </c>
      <c r="AI862" s="1" t="s">
        <v>348</v>
      </c>
      <c r="AJ862" s="1">
        <v>1929</v>
      </c>
      <c r="AK862" s="1" t="s">
        <v>428</v>
      </c>
      <c r="AL862" s="1">
        <v>126</v>
      </c>
    </row>
    <row r="863" spans="1:38" x14ac:dyDescent="0.2">
      <c r="A863" s="2" t="str">
        <f>HYPERLINK("https://www.compass.com/listing/360-central-park-west-unit-10a-manhattan-ny-10025/803468938725870601/","360 Central Park W, Unit 10A")</f>
        <v>360 Central Park W, Unit 10A</v>
      </c>
      <c r="B863" s="2" t="str">
        <f t="shared" si="149"/>
        <v>360 Central Park West</v>
      </c>
      <c r="C863" s="1" t="s">
        <v>47</v>
      </c>
      <c r="D863" s="1" t="s">
        <v>41</v>
      </c>
      <c r="E863" s="3">
        <v>4505756</v>
      </c>
      <c r="F863" s="1">
        <v>2345.5264185320102</v>
      </c>
      <c r="G863" s="1">
        <v>5</v>
      </c>
      <c r="H863" s="1">
        <v>3</v>
      </c>
      <c r="I863" s="1">
        <v>3</v>
      </c>
      <c r="J863" s="1">
        <v>2.5</v>
      </c>
      <c r="K863" s="1">
        <v>2</v>
      </c>
      <c r="L863" s="1">
        <v>1</v>
      </c>
      <c r="M863" s="4">
        <v>1921</v>
      </c>
      <c r="N863" s="1">
        <v>2171</v>
      </c>
      <c r="O863" s="1">
        <v>3575</v>
      </c>
      <c r="P863" s="1">
        <v>1404</v>
      </c>
      <c r="Q863" s="1" t="s">
        <v>42</v>
      </c>
      <c r="S863" s="1" t="s">
        <v>42</v>
      </c>
      <c r="T863" s="1" t="s">
        <v>203</v>
      </c>
      <c r="U863" s="1">
        <v>950</v>
      </c>
      <c r="V863" s="5">
        <v>43678</v>
      </c>
      <c r="W863" s="5">
        <v>42181</v>
      </c>
      <c r="X863" s="1">
        <v>4425000</v>
      </c>
      <c r="Y863" s="1">
        <v>4425000</v>
      </c>
      <c r="AA863" s="1">
        <v>4505756.25</v>
      </c>
      <c r="AB863" s="1" t="s">
        <v>673</v>
      </c>
      <c r="AC863" s="5">
        <v>43131</v>
      </c>
      <c r="AF863" s="1">
        <v>10025</v>
      </c>
      <c r="AI863" s="1" t="s">
        <v>348</v>
      </c>
      <c r="AJ863" s="1">
        <v>1929</v>
      </c>
      <c r="AK863" s="1" t="s">
        <v>428</v>
      </c>
      <c r="AL863" s="1">
        <v>126</v>
      </c>
    </row>
    <row r="864" spans="1:38" x14ac:dyDescent="0.2">
      <c r="A864" s="2" t="str">
        <f>HYPERLINK("https://www.compass.com/listing/275-west-10th-street-unit-3a-manhattan-ny-10014/29368590369088257/","275 W 10th St, Unit 3A")</f>
        <v>275 W 10th St, Unit 3A</v>
      </c>
      <c r="B864" s="2" t="str">
        <f t="shared" ref="B864:B871" si="150">HYPERLINK("https://www.compass.com/building/the-shephard-manhattan-ny/281931968864632917/","The Shephard")</f>
        <v>The Shephard</v>
      </c>
      <c r="C864" s="1" t="s">
        <v>68</v>
      </c>
      <c r="D864" s="1" t="s">
        <v>41</v>
      </c>
      <c r="E864" s="3">
        <v>6975012</v>
      </c>
      <c r="F864" s="1">
        <v>2378.92633015006</v>
      </c>
      <c r="G864" s="1">
        <v>6</v>
      </c>
      <c r="H864" s="1">
        <v>4</v>
      </c>
      <c r="I864" s="1">
        <v>5</v>
      </c>
      <c r="J864" s="1">
        <v>0.5</v>
      </c>
      <c r="L864" s="1">
        <v>1</v>
      </c>
      <c r="M864" s="4">
        <v>2932</v>
      </c>
      <c r="N864" s="1">
        <v>2703</v>
      </c>
      <c r="O864" s="1">
        <v>6242</v>
      </c>
      <c r="P864" s="1">
        <v>3539</v>
      </c>
      <c r="Q864" s="1" t="s">
        <v>42</v>
      </c>
      <c r="S864" s="1" t="s">
        <v>42</v>
      </c>
      <c r="T864" s="1" t="s">
        <v>203</v>
      </c>
      <c r="U864" s="1">
        <v>42</v>
      </c>
      <c r="V864" s="5">
        <v>43694</v>
      </c>
      <c r="W864" s="5">
        <v>42273</v>
      </c>
      <c r="X864" s="1">
        <v>6850000</v>
      </c>
      <c r="Y864" s="1">
        <v>6850000</v>
      </c>
      <c r="Z864" s="5">
        <v>42315</v>
      </c>
      <c r="AA864" s="1">
        <v>6975012</v>
      </c>
      <c r="AB864" s="1" t="s">
        <v>674</v>
      </c>
      <c r="AC864" s="5">
        <v>42908</v>
      </c>
      <c r="AF864" s="1">
        <v>10014</v>
      </c>
      <c r="AI864" s="1" t="s">
        <v>86</v>
      </c>
      <c r="AJ864" s="1">
        <v>2015</v>
      </c>
      <c r="AK864" s="1" t="s">
        <v>87</v>
      </c>
      <c r="AL864" s="1">
        <v>38</v>
      </c>
    </row>
    <row r="865" spans="1:38" x14ac:dyDescent="0.2">
      <c r="A865" s="2" t="str">
        <f>HYPERLINK("https://www.compass.com/listing/275-west-10th-street-unit-4c-manhattan-ny-10014/29368591811928865/","275 W 10th St, Unit 4C")</f>
        <v>275 W 10th St, Unit 4C</v>
      </c>
      <c r="B865" s="2" t="str">
        <f t="shared" si="150"/>
        <v>The Shephard</v>
      </c>
      <c r="C865" s="1" t="s">
        <v>68</v>
      </c>
      <c r="D865" s="1" t="s">
        <v>41</v>
      </c>
      <c r="E865" s="3">
        <v>10650000</v>
      </c>
      <c r="F865" s="1">
        <v>2796.0094512995502</v>
      </c>
      <c r="G865" s="1">
        <v>7</v>
      </c>
      <c r="H865" s="1">
        <v>4</v>
      </c>
      <c r="I865" s="1">
        <v>5</v>
      </c>
      <c r="J865" s="1">
        <v>0.5</v>
      </c>
      <c r="L865" s="1">
        <v>1</v>
      </c>
      <c r="M865" s="4">
        <v>3809</v>
      </c>
      <c r="N865" s="1">
        <v>3511</v>
      </c>
      <c r="O865" s="1">
        <v>8109</v>
      </c>
      <c r="P865" s="1">
        <v>4598</v>
      </c>
      <c r="Q865" s="1" t="s">
        <v>42</v>
      </c>
      <c r="S865" s="1" t="s">
        <v>42</v>
      </c>
      <c r="T865" s="1" t="s">
        <v>203</v>
      </c>
      <c r="U865" s="1">
        <v>556</v>
      </c>
      <c r="V865" s="5">
        <v>43694</v>
      </c>
      <c r="W865" s="5">
        <v>42273</v>
      </c>
      <c r="X865" s="1">
        <v>11500000</v>
      </c>
      <c r="Y865" s="1">
        <v>10795000</v>
      </c>
      <c r="Z865" s="5">
        <v>42829</v>
      </c>
      <c r="AA865" s="1">
        <v>10650000</v>
      </c>
      <c r="AB865" s="1" t="s">
        <v>675</v>
      </c>
      <c r="AC865" s="5">
        <v>42923</v>
      </c>
      <c r="AF865" s="1">
        <v>10014</v>
      </c>
      <c r="AI865" s="1" t="s">
        <v>86</v>
      </c>
      <c r="AJ865" s="1">
        <v>2015</v>
      </c>
      <c r="AK865" s="1" t="s">
        <v>87</v>
      </c>
      <c r="AL865" s="1">
        <v>38</v>
      </c>
    </row>
    <row r="866" spans="1:38" x14ac:dyDescent="0.2">
      <c r="A866" s="2" t="str">
        <f>HYPERLINK("https://www.compass.com/listing/275-west-10th-street-unit-6a-manhattan-ny-10014/29368593716142913/","275 W 10th St, Unit 6A")</f>
        <v>275 W 10th St, Unit 6A</v>
      </c>
      <c r="B866" s="2" t="str">
        <f t="shared" si="150"/>
        <v>The Shephard</v>
      </c>
      <c r="C866" s="1" t="s">
        <v>68</v>
      </c>
      <c r="D866" s="1" t="s">
        <v>41</v>
      </c>
      <c r="E866" s="3">
        <v>7150000</v>
      </c>
      <c r="F866" s="1">
        <v>2438.6084583901702</v>
      </c>
      <c r="G866" s="1">
        <v>7</v>
      </c>
      <c r="H866" s="1">
        <v>4</v>
      </c>
      <c r="I866" s="1">
        <v>5</v>
      </c>
      <c r="J866" s="1">
        <v>0.5</v>
      </c>
      <c r="L866" s="1">
        <v>1</v>
      </c>
      <c r="M866" s="4">
        <v>2932</v>
      </c>
      <c r="N866" s="1">
        <v>2694</v>
      </c>
      <c r="O866" s="1">
        <v>6223</v>
      </c>
      <c r="P866" s="1">
        <v>3529</v>
      </c>
      <c r="Q866" s="1" t="s">
        <v>42</v>
      </c>
      <c r="S866" s="1" t="s">
        <v>42</v>
      </c>
      <c r="T866" s="1" t="s">
        <v>203</v>
      </c>
      <c r="V866" s="5">
        <v>43694</v>
      </c>
      <c r="W866" s="5">
        <v>42598</v>
      </c>
      <c r="X866" s="1">
        <v>7550000</v>
      </c>
      <c r="Y866" s="1">
        <v>7550000</v>
      </c>
      <c r="Z866" s="5">
        <v>42598</v>
      </c>
      <c r="AA866" s="1">
        <v>7150000</v>
      </c>
      <c r="AB866" s="1" t="s">
        <v>676</v>
      </c>
      <c r="AC866" s="5">
        <v>42788</v>
      </c>
      <c r="AF866" s="1">
        <v>10014</v>
      </c>
      <c r="AI866" s="1" t="s">
        <v>86</v>
      </c>
      <c r="AJ866" s="1">
        <v>2015</v>
      </c>
      <c r="AK866" s="1" t="s">
        <v>87</v>
      </c>
      <c r="AL866" s="1">
        <v>38</v>
      </c>
    </row>
    <row r="867" spans="1:38" x14ac:dyDescent="0.2">
      <c r="A867" s="2" t="str">
        <f>HYPERLINK("https://www.compass.com/listing/275-west-10th-street-unit-7a-manhattan-ny-10014/29368595158983521/","275 W 10th St, Unit 7A")</f>
        <v>275 W 10th St, Unit 7A</v>
      </c>
      <c r="B867" s="2" t="str">
        <f t="shared" si="150"/>
        <v>The Shephard</v>
      </c>
      <c r="C867" s="1" t="s">
        <v>68</v>
      </c>
      <c r="D867" s="1" t="s">
        <v>41</v>
      </c>
      <c r="E867" s="3">
        <v>7350000</v>
      </c>
      <c r="F867" s="1">
        <v>2506.8212824010898</v>
      </c>
      <c r="G867" s="1">
        <v>7</v>
      </c>
      <c r="H867" s="1">
        <v>4</v>
      </c>
      <c r="I867" s="1">
        <v>5</v>
      </c>
      <c r="J867" s="1">
        <v>0.5</v>
      </c>
      <c r="L867" s="1">
        <v>1</v>
      </c>
      <c r="M867" s="4">
        <v>2932</v>
      </c>
      <c r="N867" s="1">
        <v>2694</v>
      </c>
      <c r="O867" s="1">
        <v>6223</v>
      </c>
      <c r="P867" s="1">
        <v>3529</v>
      </c>
      <c r="Q867" s="1" t="s">
        <v>42</v>
      </c>
      <c r="S867" s="1" t="s">
        <v>42</v>
      </c>
      <c r="T867" s="1" t="s">
        <v>203</v>
      </c>
      <c r="U867" s="1">
        <v>214</v>
      </c>
      <c r="V867" s="5">
        <v>43694</v>
      </c>
      <c r="W867" s="5">
        <v>42713</v>
      </c>
      <c r="X867" s="1">
        <v>7450000</v>
      </c>
      <c r="Y867" s="1">
        <v>7450000</v>
      </c>
      <c r="Z867" s="5">
        <v>42927</v>
      </c>
      <c r="AA867" s="1">
        <v>7350000</v>
      </c>
      <c r="AB867" s="1" t="s">
        <v>677</v>
      </c>
      <c r="AC867" s="5">
        <v>42964</v>
      </c>
      <c r="AF867" s="1">
        <v>10014</v>
      </c>
      <c r="AI867" s="1" t="s">
        <v>86</v>
      </c>
      <c r="AJ867" s="1">
        <v>2015</v>
      </c>
      <c r="AK867" s="1" t="s">
        <v>87</v>
      </c>
      <c r="AL867" s="1">
        <v>38</v>
      </c>
    </row>
    <row r="868" spans="1:38" x14ac:dyDescent="0.2">
      <c r="A868" s="2" t="str">
        <f>HYPERLINK("https://www.compass.com/listing/275-west-10th-street-unit-9c-manhattan-ny-10014/29368599210681265/","275 W 10th St, Unit 9C")</f>
        <v>275 W 10th St, Unit 9C</v>
      </c>
      <c r="B868" s="2" t="str">
        <f t="shared" si="150"/>
        <v>The Shephard</v>
      </c>
      <c r="C868" s="1" t="s">
        <v>68</v>
      </c>
      <c r="D868" s="1" t="s">
        <v>41</v>
      </c>
      <c r="E868" s="3">
        <v>12450000</v>
      </c>
      <c r="F868" s="1">
        <v>3232.9265125941301</v>
      </c>
      <c r="G868" s="1">
        <v>9</v>
      </c>
      <c r="H868" s="1">
        <v>4</v>
      </c>
      <c r="I868" s="1">
        <v>5</v>
      </c>
      <c r="J868" s="1">
        <v>0.5</v>
      </c>
      <c r="L868" s="1">
        <v>1</v>
      </c>
      <c r="M868" s="4">
        <v>3851</v>
      </c>
      <c r="N868" s="1">
        <v>3539</v>
      </c>
      <c r="O868" s="1">
        <v>8174</v>
      </c>
      <c r="P868" s="1">
        <v>4635</v>
      </c>
      <c r="Q868" s="1" t="s">
        <v>42</v>
      </c>
      <c r="S868" s="1" t="s">
        <v>42</v>
      </c>
      <c r="T868" s="1" t="s">
        <v>203</v>
      </c>
      <c r="U868" s="1">
        <v>217</v>
      </c>
      <c r="V868" s="5">
        <v>43694</v>
      </c>
      <c r="W868" s="5">
        <v>42447</v>
      </c>
      <c r="X868" s="1">
        <v>12795000</v>
      </c>
      <c r="Y868" s="1">
        <v>12795000</v>
      </c>
      <c r="Z868" s="5">
        <v>42664</v>
      </c>
      <c r="AA868" s="1">
        <v>12450000</v>
      </c>
      <c r="AB868" s="1" t="s">
        <v>678</v>
      </c>
      <c r="AC868" s="5">
        <v>42838</v>
      </c>
      <c r="AF868" s="1">
        <v>10014</v>
      </c>
      <c r="AI868" s="1" t="s">
        <v>86</v>
      </c>
      <c r="AJ868" s="1">
        <v>2015</v>
      </c>
      <c r="AK868" s="1" t="s">
        <v>87</v>
      </c>
      <c r="AL868" s="1">
        <v>38</v>
      </c>
    </row>
    <row r="869" spans="1:38" x14ac:dyDescent="0.2">
      <c r="A869" s="2" t="str">
        <f>HYPERLINK("https://www.compass.com/listing/275-west-10th-street-unit-10a-manhattan-ny-10014/29368599730778529/","275 W 10th St, Unit 10A")</f>
        <v>275 W 10th St, Unit 10A</v>
      </c>
      <c r="B869" s="2" t="str">
        <f t="shared" si="150"/>
        <v>The Shephard</v>
      </c>
      <c r="C869" s="1" t="s">
        <v>68</v>
      </c>
      <c r="D869" s="1" t="s">
        <v>41</v>
      </c>
      <c r="E869" s="3">
        <v>12795000</v>
      </c>
      <c r="F869" s="1">
        <v>3411.0903758997601</v>
      </c>
      <c r="G869" s="1">
        <v>10</v>
      </c>
      <c r="H869" s="1">
        <v>4</v>
      </c>
      <c r="I869" s="1">
        <v>5</v>
      </c>
      <c r="J869" s="1">
        <v>0.5</v>
      </c>
      <c r="L869" s="1">
        <v>1</v>
      </c>
      <c r="M869" s="4">
        <v>3751</v>
      </c>
      <c r="N869" s="1">
        <v>3447</v>
      </c>
      <c r="O869" s="1">
        <v>7961</v>
      </c>
      <c r="P869" s="1">
        <v>4514</v>
      </c>
      <c r="Q869" s="1" t="s">
        <v>42</v>
      </c>
      <c r="S869" s="1" t="s">
        <v>42</v>
      </c>
      <c r="T869" s="1" t="s">
        <v>203</v>
      </c>
      <c r="U869" s="1">
        <v>22</v>
      </c>
      <c r="V869" s="5">
        <v>43694</v>
      </c>
      <c r="W869" s="5">
        <v>42705</v>
      </c>
      <c r="X869" s="1">
        <v>12795000</v>
      </c>
      <c r="Y869" s="1">
        <v>12795000</v>
      </c>
      <c r="Z869" s="5">
        <v>42727</v>
      </c>
      <c r="AA869" s="1">
        <v>12795000</v>
      </c>
      <c r="AB869" s="1" t="s">
        <v>679</v>
      </c>
      <c r="AC869" s="5">
        <v>42832</v>
      </c>
      <c r="AF869" s="1">
        <v>10014</v>
      </c>
      <c r="AI869" s="1" t="s">
        <v>86</v>
      </c>
      <c r="AJ869" s="1">
        <v>2015</v>
      </c>
      <c r="AK869" s="1" t="s">
        <v>87</v>
      </c>
      <c r="AL869" s="1">
        <v>38</v>
      </c>
    </row>
    <row r="870" spans="1:38" x14ac:dyDescent="0.2">
      <c r="A870" s="2" t="str">
        <f>HYPERLINK("https://www.compass.com/listing/275-west-10th-street-unit-phc-manhattan-ny-10014/29368602759066065/","275 W 10th St, Unit PHC")</f>
        <v>275 W 10th St, Unit PHC</v>
      </c>
      <c r="B870" s="2" t="str">
        <f t="shared" si="150"/>
        <v>The Shephard</v>
      </c>
      <c r="C870" s="1" t="s">
        <v>68</v>
      </c>
      <c r="D870" s="1" t="s">
        <v>41</v>
      </c>
      <c r="E870" s="3">
        <v>34620500</v>
      </c>
      <c r="F870" s="1">
        <v>5784.5446950710102</v>
      </c>
      <c r="G870" s="1">
        <v>10</v>
      </c>
      <c r="H870" s="1">
        <v>5</v>
      </c>
      <c r="I870" s="1">
        <v>6</v>
      </c>
      <c r="J870" s="1">
        <v>0.5</v>
      </c>
      <c r="L870" s="1">
        <v>1</v>
      </c>
      <c r="M870" s="4">
        <v>5985</v>
      </c>
      <c r="N870" s="1">
        <v>6206</v>
      </c>
      <c r="O870" s="1">
        <v>14333</v>
      </c>
      <c r="P870" s="1">
        <v>8127</v>
      </c>
      <c r="Q870" s="1" t="s">
        <v>42</v>
      </c>
      <c r="S870" s="1" t="s">
        <v>42</v>
      </c>
      <c r="T870" s="1" t="s">
        <v>203</v>
      </c>
      <c r="U870" s="1">
        <v>586</v>
      </c>
      <c r="V870" s="5">
        <v>43694</v>
      </c>
      <c r="W870" s="5">
        <v>42404</v>
      </c>
      <c r="X870" s="1">
        <v>29500000</v>
      </c>
      <c r="Y870" s="1">
        <v>29500000</v>
      </c>
      <c r="Z870" s="5">
        <v>42990</v>
      </c>
      <c r="AA870" s="1">
        <v>34620500</v>
      </c>
      <c r="AB870" s="1" t="s">
        <v>680</v>
      </c>
      <c r="AC870" s="5">
        <v>43083</v>
      </c>
      <c r="AF870" s="1">
        <v>10014</v>
      </c>
      <c r="AI870" s="1" t="s">
        <v>86</v>
      </c>
      <c r="AJ870" s="1">
        <v>2015</v>
      </c>
      <c r="AK870" s="1" t="s">
        <v>87</v>
      </c>
      <c r="AL870" s="1">
        <v>38</v>
      </c>
    </row>
    <row r="871" spans="1:38" x14ac:dyDescent="0.2">
      <c r="A871" s="2" t="str">
        <f>HYPERLINK("https://www.compass.com/listing/275-west-10th-street-unit-6d-manhattan-ny-10014/803335318316926657/","275 W 10th St, Unit 6D")</f>
        <v>275 W 10th St, Unit 6D</v>
      </c>
      <c r="B871" s="2" t="str">
        <f t="shared" si="150"/>
        <v>The Shephard</v>
      </c>
      <c r="C871" s="1" t="s">
        <v>68</v>
      </c>
      <c r="D871" s="1" t="s">
        <v>41</v>
      </c>
      <c r="E871" s="3">
        <v>11875000</v>
      </c>
      <c r="F871" s="1">
        <v>3120.89356110381</v>
      </c>
      <c r="G871" s="1">
        <v>7</v>
      </c>
      <c r="H871" s="1">
        <v>4</v>
      </c>
      <c r="I871" s="1">
        <v>5</v>
      </c>
      <c r="J871" s="1">
        <v>0.5</v>
      </c>
      <c r="L871" s="1">
        <v>1</v>
      </c>
      <c r="M871" s="4">
        <v>3805</v>
      </c>
      <c r="N871" s="1">
        <v>3507</v>
      </c>
      <c r="O871" s="1">
        <v>8100</v>
      </c>
      <c r="P871" s="1">
        <v>4593</v>
      </c>
      <c r="Q871" s="1" t="s">
        <v>42</v>
      </c>
      <c r="S871" s="1" t="s">
        <v>42</v>
      </c>
      <c r="T871" s="1" t="s">
        <v>203</v>
      </c>
      <c r="V871" s="5">
        <v>43238</v>
      </c>
      <c r="W871" s="5">
        <v>42696</v>
      </c>
      <c r="X871" s="1">
        <v>11850000</v>
      </c>
      <c r="AB871" s="1" t="s">
        <v>204</v>
      </c>
      <c r="AF871" s="1">
        <v>10014</v>
      </c>
      <c r="AI871" s="1" t="s">
        <v>86</v>
      </c>
      <c r="AJ871" s="1">
        <v>2015</v>
      </c>
      <c r="AK871" s="1" t="s">
        <v>87</v>
      </c>
      <c r="AL871" s="1">
        <v>38</v>
      </c>
    </row>
    <row r="872" spans="1:38" x14ac:dyDescent="0.2">
      <c r="A872" s="2" t="str">
        <f>HYPERLINK("https://www.compass.com/listing/200-east-21st-street-unit-20a-manhattan-ny-10010/258637872905651377/","200 E 21st St, Unit 20A")</f>
        <v>200 E 21st St, Unit 20A</v>
      </c>
      <c r="B872" s="2" t="str">
        <f>HYPERLINK("https://www.compass.com/building/200-east-21st-street-manhattan-ny/292796762689658005/","200 East 21st Street")</f>
        <v>200 East 21st Street</v>
      </c>
      <c r="C872" s="1" t="s">
        <v>101</v>
      </c>
      <c r="D872" s="1" t="s">
        <v>41</v>
      </c>
      <c r="E872" s="3">
        <v>4145255</v>
      </c>
      <c r="F872" s="1">
        <v>2476.25758064516</v>
      </c>
      <c r="G872" s="1">
        <v>4</v>
      </c>
      <c r="H872" s="1">
        <v>2</v>
      </c>
      <c r="I872" s="1">
        <v>3</v>
      </c>
      <c r="J872" s="1">
        <v>2.5</v>
      </c>
      <c r="K872" s="1">
        <v>2</v>
      </c>
      <c r="L872" s="1">
        <v>1</v>
      </c>
      <c r="M872" s="4">
        <v>1674</v>
      </c>
      <c r="N872" s="1">
        <v>1753</v>
      </c>
      <c r="O872" s="1">
        <v>3110</v>
      </c>
      <c r="P872" s="1">
        <v>1357</v>
      </c>
      <c r="Q872" s="1" t="s">
        <v>335</v>
      </c>
      <c r="S872" s="1" t="s">
        <v>336</v>
      </c>
      <c r="T872" s="1" t="s">
        <v>203</v>
      </c>
      <c r="U872" s="1">
        <v>283</v>
      </c>
      <c r="V872" s="5">
        <v>43814</v>
      </c>
      <c r="W872" s="5">
        <v>43501</v>
      </c>
      <c r="X872" s="1">
        <v>4250000</v>
      </c>
      <c r="Y872" s="1">
        <v>4250000</v>
      </c>
      <c r="Z872" s="5">
        <v>43785</v>
      </c>
      <c r="AA872" s="1">
        <v>4145255.19</v>
      </c>
      <c r="AB872" s="1" t="s">
        <v>681</v>
      </c>
      <c r="AC872" s="5">
        <v>43812</v>
      </c>
      <c r="AF872" s="1">
        <v>10010</v>
      </c>
      <c r="AI872" s="1" t="s">
        <v>102</v>
      </c>
      <c r="AJ872" s="1">
        <v>2018</v>
      </c>
      <c r="AK872" s="1" t="s">
        <v>87</v>
      </c>
      <c r="AL872" s="1">
        <v>67</v>
      </c>
    </row>
    <row r="873" spans="1:38" x14ac:dyDescent="0.2">
      <c r="A873" s="2" t="str">
        <f>HYPERLINK("https://www.compass.com/listing/30-park-place-unit-71b-manhattan-ny-10007/266638939522112417/","30 Park Pl, Unit 71B")</f>
        <v>30 Park Pl, Unit 71B</v>
      </c>
      <c r="B873" s="2" t="str">
        <f t="shared" ref="B873:B875" si="151">HYPERLINK("https://www.compass.com/building/30-park-pl-manhattan-ny-10007/281896912905317605/","30 Park Pl")</f>
        <v>30 Park Pl</v>
      </c>
      <c r="C873" s="1" t="s">
        <v>40</v>
      </c>
      <c r="D873" s="1" t="s">
        <v>41</v>
      </c>
      <c r="E873" s="3">
        <v>8604213</v>
      </c>
      <c r="F873" s="1">
        <v>3270.3202204484901</v>
      </c>
      <c r="H873" s="1">
        <v>3</v>
      </c>
      <c r="J873" s="1">
        <v>3.5</v>
      </c>
      <c r="M873" s="4">
        <v>2631</v>
      </c>
      <c r="N873" s="1">
        <v>2198</v>
      </c>
      <c r="O873" s="1">
        <v>7801</v>
      </c>
      <c r="P873" s="1">
        <v>5603</v>
      </c>
      <c r="Q873" s="1" t="s">
        <v>42</v>
      </c>
      <c r="S873" s="1" t="s">
        <v>42</v>
      </c>
      <c r="T873" s="1" t="s">
        <v>203</v>
      </c>
      <c r="AA873" s="1">
        <v>8604212.5</v>
      </c>
      <c r="AB873" s="1" t="s">
        <v>682</v>
      </c>
      <c r="AC873" s="5">
        <v>42877</v>
      </c>
      <c r="AF873" s="1">
        <v>10007</v>
      </c>
      <c r="AJ873" s="1">
        <v>2016</v>
      </c>
      <c r="AK873" s="1" t="s">
        <v>50</v>
      </c>
      <c r="AL873" s="1">
        <v>157</v>
      </c>
    </row>
    <row r="874" spans="1:38" x14ac:dyDescent="0.2">
      <c r="A874" s="2" t="str">
        <f>HYPERLINK("https://www.compass.com/listing/30-park-place-unit-ph78b-manhattan-ny-10007/837410551062498921/","30 Park Pl, Unit PH78B")</f>
        <v>30 Park Pl, Unit PH78B</v>
      </c>
      <c r="B874" s="2" t="str">
        <f t="shared" si="151"/>
        <v>30 Park Pl</v>
      </c>
      <c r="C874" s="1" t="s">
        <v>40</v>
      </c>
      <c r="D874" s="1" t="s">
        <v>41</v>
      </c>
      <c r="E874" s="3">
        <v>18439344</v>
      </c>
      <c r="F874" s="1">
        <v>3105.8352282297401</v>
      </c>
      <c r="H874" s="1">
        <v>5</v>
      </c>
      <c r="J874" s="1">
        <v>6.5</v>
      </c>
      <c r="K874" s="1">
        <v>6</v>
      </c>
      <c r="L874" s="1">
        <v>1</v>
      </c>
      <c r="M874" s="4">
        <v>5937</v>
      </c>
      <c r="N874" s="1">
        <v>5923</v>
      </c>
      <c r="O874" s="1">
        <v>20630</v>
      </c>
      <c r="P874" s="1">
        <v>14707</v>
      </c>
      <c r="Q874" s="1" t="s">
        <v>42</v>
      </c>
      <c r="S874" s="1" t="s">
        <v>42</v>
      </c>
      <c r="T874" s="1" t="s">
        <v>203</v>
      </c>
      <c r="AA874" s="1">
        <v>18439343.75</v>
      </c>
      <c r="AB874" s="1" t="s">
        <v>683</v>
      </c>
      <c r="AC874" s="5">
        <v>44389</v>
      </c>
      <c r="AF874" s="1">
        <v>10007</v>
      </c>
      <c r="AJ874" s="1">
        <v>2016</v>
      </c>
      <c r="AK874" s="1" t="s">
        <v>50</v>
      </c>
      <c r="AL874" s="1">
        <v>157</v>
      </c>
    </row>
    <row r="875" spans="1:38" x14ac:dyDescent="0.2">
      <c r="A875" s="2" t="str">
        <f>HYPERLINK("https://www.compass.com/listing/30-park-place-unit-71b-manhattan-ny-10007/841600703960607953/","30 Park Pl, Unit 71B")</f>
        <v>30 Park Pl, Unit 71B</v>
      </c>
      <c r="B875" s="2" t="str">
        <f t="shared" si="151"/>
        <v>30 Park Pl</v>
      </c>
      <c r="C875" s="1" t="s">
        <v>40</v>
      </c>
      <c r="D875" s="1" t="s">
        <v>41</v>
      </c>
      <c r="E875" s="3">
        <v>7450000</v>
      </c>
      <c r="F875" s="1">
        <v>2831.6229570505502</v>
      </c>
      <c r="H875" s="1">
        <v>3</v>
      </c>
      <c r="J875" s="1">
        <v>3.5</v>
      </c>
      <c r="M875" s="4">
        <v>2631</v>
      </c>
      <c r="N875" s="1">
        <v>2198</v>
      </c>
      <c r="O875" s="1">
        <v>7801</v>
      </c>
      <c r="P875" s="1">
        <v>5603</v>
      </c>
      <c r="Q875" s="1" t="s">
        <v>42</v>
      </c>
      <c r="S875" s="1" t="s">
        <v>42</v>
      </c>
      <c r="T875" s="1" t="s">
        <v>203</v>
      </c>
      <c r="AA875" s="1">
        <v>7450000</v>
      </c>
      <c r="AB875" s="1" t="s">
        <v>684</v>
      </c>
      <c r="AC875" s="5">
        <v>43595</v>
      </c>
      <c r="AF875" s="1">
        <v>10007</v>
      </c>
      <c r="AJ875" s="1">
        <v>2016</v>
      </c>
      <c r="AK875" s="1" t="s">
        <v>50</v>
      </c>
      <c r="AL875" s="1">
        <v>157</v>
      </c>
    </row>
    <row r="876" spans="1:38" x14ac:dyDescent="0.2">
      <c r="A876" s="2" t="str">
        <f>HYPERLINK("https://www.compass.com/listing/200-east-21st-street-unit-5d-manhattan-ny-10010/104909590201700097/","200 E 21st St, Unit 5D")</f>
        <v>200 E 21st St, Unit 5D</v>
      </c>
      <c r="B876" s="2" t="str">
        <f t="shared" ref="B876:B879" si="152">HYPERLINK("https://www.compass.com/building/200-east-21st-street-manhattan-ny/292796762689658005/","200 East 21st Street")</f>
        <v>200 East 21st Street</v>
      </c>
      <c r="C876" s="1" t="s">
        <v>101</v>
      </c>
      <c r="D876" s="1" t="s">
        <v>41</v>
      </c>
      <c r="E876" s="3">
        <v>1471371</v>
      </c>
      <c r="F876" s="1">
        <v>2063.6342917251</v>
      </c>
      <c r="G876" s="1">
        <v>3</v>
      </c>
      <c r="H876" s="1">
        <v>1</v>
      </c>
      <c r="I876" s="1">
        <v>1</v>
      </c>
      <c r="J876" s="1">
        <v>1</v>
      </c>
      <c r="K876" s="1">
        <v>1</v>
      </c>
      <c r="M876" s="1">
        <v>713</v>
      </c>
      <c r="N876" s="1">
        <v>695</v>
      </c>
      <c r="O876" s="1">
        <v>1997</v>
      </c>
      <c r="P876" s="1">
        <v>1302</v>
      </c>
      <c r="Q876" s="1" t="s">
        <v>42</v>
      </c>
      <c r="S876" s="1" t="s">
        <v>42</v>
      </c>
      <c r="T876" s="1" t="s">
        <v>203</v>
      </c>
      <c r="V876" s="5">
        <v>44398</v>
      </c>
      <c r="W876" s="5">
        <v>43384</v>
      </c>
      <c r="X876" s="1">
        <v>1445000</v>
      </c>
      <c r="Y876" s="1">
        <v>1445000</v>
      </c>
      <c r="Z876" s="5">
        <v>43384</v>
      </c>
      <c r="AA876" s="1">
        <v>1471371.25</v>
      </c>
      <c r="AB876" s="1" t="s">
        <v>685</v>
      </c>
      <c r="AC876" s="5">
        <v>43599</v>
      </c>
      <c r="AF876" s="1">
        <v>10010</v>
      </c>
      <c r="AI876" s="1" t="s">
        <v>102</v>
      </c>
      <c r="AJ876" s="1">
        <v>2018</v>
      </c>
      <c r="AK876" s="1" t="s">
        <v>59</v>
      </c>
      <c r="AL876" s="1">
        <v>67</v>
      </c>
    </row>
    <row r="877" spans="1:38" x14ac:dyDescent="0.2">
      <c r="A877" s="2" t="str">
        <f>HYPERLINK("https://www.compass.com/listing/200-east-21st-street-unit-10b-manhattan-ny-10010/144826245807363841/","200 E 21st St, Unit 10B")</f>
        <v>200 E 21st St, Unit 10B</v>
      </c>
      <c r="B877" s="2" t="str">
        <f t="shared" si="152"/>
        <v>200 East 21st Street</v>
      </c>
      <c r="C877" s="1" t="s">
        <v>101</v>
      </c>
      <c r="D877" s="1" t="s">
        <v>41</v>
      </c>
      <c r="E877" s="3">
        <v>1639383</v>
      </c>
      <c r="F877" s="1">
        <v>2120.80530401034</v>
      </c>
      <c r="G877" s="1">
        <v>3</v>
      </c>
      <c r="H877" s="1">
        <v>1</v>
      </c>
      <c r="I877" s="1">
        <v>1</v>
      </c>
      <c r="J877" s="1">
        <v>1</v>
      </c>
      <c r="K877" s="1">
        <v>1</v>
      </c>
      <c r="M877" s="1">
        <v>773</v>
      </c>
      <c r="N877" s="1">
        <v>767</v>
      </c>
      <c r="O877" s="1">
        <v>2203</v>
      </c>
      <c r="P877" s="1">
        <v>1436</v>
      </c>
      <c r="Q877" s="1" t="s">
        <v>42</v>
      </c>
      <c r="S877" s="1" t="s">
        <v>42</v>
      </c>
      <c r="T877" s="1" t="s">
        <v>203</v>
      </c>
      <c r="U877" s="1">
        <v>120</v>
      </c>
      <c r="V877" s="5">
        <v>44379</v>
      </c>
      <c r="W877" s="5">
        <v>43250</v>
      </c>
      <c r="X877" s="1">
        <v>1640000</v>
      </c>
      <c r="Y877" s="1">
        <v>1640000</v>
      </c>
      <c r="Z877" s="5">
        <v>43370</v>
      </c>
      <c r="AA877" s="1">
        <v>1639382.5</v>
      </c>
      <c r="AB877" s="1" t="s">
        <v>686</v>
      </c>
      <c r="AC877" s="5">
        <v>43598</v>
      </c>
      <c r="AF877" s="1">
        <v>10010</v>
      </c>
      <c r="AI877" s="1" t="s">
        <v>102</v>
      </c>
      <c r="AJ877" s="1">
        <v>2018</v>
      </c>
      <c r="AK877" s="1" t="s">
        <v>59</v>
      </c>
      <c r="AL877" s="1">
        <v>67</v>
      </c>
    </row>
    <row r="878" spans="1:38" x14ac:dyDescent="0.2">
      <c r="A878" s="2" t="str">
        <f>HYPERLINK("https://www.compass.com/listing/200-east-21st-street-unit-9b-manhattan-ny-10010/364321764839855201/","200 E 21st St, Unit 9B")</f>
        <v>200 E 21st St, Unit 9B</v>
      </c>
      <c r="B878" s="2" t="str">
        <f t="shared" si="152"/>
        <v>200 East 21st Street</v>
      </c>
      <c r="C878" s="1" t="s">
        <v>101</v>
      </c>
      <c r="D878" s="1" t="s">
        <v>41</v>
      </c>
      <c r="E878" s="3">
        <v>1670250</v>
      </c>
      <c r="F878" s="1">
        <v>2160.7373868046502</v>
      </c>
      <c r="G878" s="1">
        <v>3</v>
      </c>
      <c r="H878" s="1">
        <v>1</v>
      </c>
      <c r="I878" s="1">
        <v>1</v>
      </c>
      <c r="J878" s="1">
        <v>1</v>
      </c>
      <c r="K878" s="1">
        <v>1</v>
      </c>
      <c r="M878" s="1">
        <v>773</v>
      </c>
      <c r="N878" s="1">
        <v>762</v>
      </c>
      <c r="O878" s="1">
        <v>1352</v>
      </c>
      <c r="P878" s="1">
        <v>590</v>
      </c>
      <c r="Q878" s="1" t="s">
        <v>42</v>
      </c>
      <c r="S878" s="1" t="s">
        <v>42</v>
      </c>
      <c r="T878" s="1" t="s">
        <v>203</v>
      </c>
      <c r="V878" s="5">
        <v>43823</v>
      </c>
      <c r="W878" s="5">
        <v>43755</v>
      </c>
      <c r="X878" s="1">
        <v>1685000</v>
      </c>
      <c r="Y878" s="1">
        <v>1685000</v>
      </c>
      <c r="Z878" s="5">
        <v>43755</v>
      </c>
      <c r="AA878" s="1">
        <v>1670250</v>
      </c>
      <c r="AB878" s="1" t="s">
        <v>687</v>
      </c>
      <c r="AC878" s="5">
        <v>43811</v>
      </c>
      <c r="AF878" s="1">
        <v>10010</v>
      </c>
      <c r="AI878" s="1" t="s">
        <v>102</v>
      </c>
      <c r="AJ878" s="1">
        <v>2018</v>
      </c>
      <c r="AK878" s="1" t="s">
        <v>55</v>
      </c>
      <c r="AL878" s="1">
        <v>67</v>
      </c>
    </row>
    <row r="879" spans="1:38" x14ac:dyDescent="0.2">
      <c r="A879" s="2" t="str">
        <f>HYPERLINK("https://www.compass.com/listing/200-east-21st-street-unit-4d-manhattan-ny-10010/96242686163514161/","200 E 21st St, Unit 4D")</f>
        <v>200 E 21st St, Unit 4D</v>
      </c>
      <c r="B879" s="2" t="str">
        <f t="shared" si="152"/>
        <v>200 East 21st Street</v>
      </c>
      <c r="C879" s="1" t="s">
        <v>101</v>
      </c>
      <c r="D879" s="1" t="s">
        <v>41</v>
      </c>
      <c r="E879" s="3">
        <v>1438003</v>
      </c>
      <c r="F879" s="1">
        <v>2016.8348527349201</v>
      </c>
      <c r="G879" s="1">
        <v>3</v>
      </c>
      <c r="H879" s="1">
        <v>1</v>
      </c>
      <c r="I879" s="1">
        <v>1</v>
      </c>
      <c r="J879" s="1">
        <v>1</v>
      </c>
      <c r="K879" s="1">
        <v>1</v>
      </c>
      <c r="M879" s="1">
        <v>713</v>
      </c>
      <c r="N879" s="1">
        <v>693</v>
      </c>
      <c r="O879" s="1">
        <v>1990</v>
      </c>
      <c r="P879" s="1">
        <v>1297</v>
      </c>
      <c r="Q879" s="1" t="s">
        <v>42</v>
      </c>
      <c r="S879" s="1" t="s">
        <v>42</v>
      </c>
      <c r="T879" s="1" t="s">
        <v>203</v>
      </c>
      <c r="U879" s="1">
        <v>82</v>
      </c>
      <c r="V879" s="5">
        <v>43635</v>
      </c>
      <c r="W879" s="5">
        <v>43294</v>
      </c>
      <c r="X879" s="1">
        <v>1430000</v>
      </c>
      <c r="Y879" s="1">
        <v>1430000</v>
      </c>
      <c r="Z879" s="5">
        <v>43376</v>
      </c>
      <c r="AA879" s="1">
        <v>1438003.25</v>
      </c>
      <c r="AB879" s="1" t="s">
        <v>688</v>
      </c>
      <c r="AC879" s="5">
        <v>43595</v>
      </c>
      <c r="AF879" s="1">
        <v>10010</v>
      </c>
      <c r="AI879" s="1" t="s">
        <v>102</v>
      </c>
      <c r="AJ879" s="1">
        <v>2018</v>
      </c>
      <c r="AK879" s="1" t="s">
        <v>55</v>
      </c>
      <c r="AL879" s="1">
        <v>67</v>
      </c>
    </row>
    <row r="880" spans="1:38" x14ac:dyDescent="0.2">
      <c r="A880" s="2" t="str">
        <f>HYPERLINK("https://www.compass.com/listing/30-park-place-unit-51c-manhattan-ny-10007/29357569608784193/","30 Park Pl, Unit 51C")</f>
        <v>30 Park Pl, Unit 51C</v>
      </c>
      <c r="B880" s="2" t="str">
        <f>HYPERLINK("https://www.compass.com/building/30-park-pl-manhattan-ny-10007/281896912905317605/","30 Park Pl")</f>
        <v>30 Park Pl</v>
      </c>
      <c r="C880" s="1" t="s">
        <v>40</v>
      </c>
      <c r="D880" s="1" t="s">
        <v>41</v>
      </c>
      <c r="E880" s="3">
        <v>3304221</v>
      </c>
      <c r="F880" s="1">
        <v>2982.1491425992699</v>
      </c>
      <c r="H880" s="1">
        <v>1</v>
      </c>
      <c r="J880" s="1">
        <v>1.5</v>
      </c>
      <c r="M880" s="4">
        <v>1108</v>
      </c>
      <c r="N880" s="1">
        <v>889</v>
      </c>
      <c r="O880" s="1">
        <v>3155</v>
      </c>
      <c r="P880" s="1">
        <v>2266</v>
      </c>
      <c r="Q880" s="1" t="s">
        <v>42</v>
      </c>
      <c r="S880" s="1" t="s">
        <v>42</v>
      </c>
      <c r="T880" s="1" t="s">
        <v>203</v>
      </c>
      <c r="AA880" s="1">
        <v>3304221.25</v>
      </c>
      <c r="AB880" s="1" t="s">
        <v>689</v>
      </c>
      <c r="AC880" s="5">
        <v>42696</v>
      </c>
      <c r="AF880" s="1">
        <v>10007</v>
      </c>
      <c r="AJ880" s="1">
        <v>2016</v>
      </c>
      <c r="AK880" s="1" t="s">
        <v>50</v>
      </c>
      <c r="AL880" s="1">
        <v>157</v>
      </c>
    </row>
    <row r="881" spans="1:38" x14ac:dyDescent="0.2">
      <c r="A881" s="2" t="str">
        <f>HYPERLINK("https://www.compass.com/listing/360-central-park-west-unit-6e-manhattan-ny-10025/29399273221156545/","360 Central Park W, Unit 6E")</f>
        <v>360 Central Park W, Unit 6E</v>
      </c>
      <c r="B881" s="2" t="str">
        <f t="shared" ref="B881:B882" si="153">HYPERLINK("https://www.compass.com/building/360-central-park-west-manhattan-ny/281971555427243781/","360 Central Park West")</f>
        <v>360 Central Park West</v>
      </c>
      <c r="C881" s="1" t="s">
        <v>47</v>
      </c>
      <c r="D881" s="1" t="s">
        <v>41</v>
      </c>
      <c r="E881" s="3">
        <v>3462050</v>
      </c>
      <c r="F881" s="1">
        <v>1800.33801352054</v>
      </c>
      <c r="G881" s="1">
        <v>5</v>
      </c>
      <c r="H881" s="1">
        <v>3</v>
      </c>
      <c r="I881" s="1">
        <v>3</v>
      </c>
      <c r="J881" s="1">
        <v>2.5</v>
      </c>
      <c r="K881" s="1">
        <v>2</v>
      </c>
      <c r="L881" s="1">
        <v>1</v>
      </c>
      <c r="M881" s="4">
        <v>1923</v>
      </c>
      <c r="N881" s="1">
        <v>2173</v>
      </c>
      <c r="O881" s="1">
        <v>3578</v>
      </c>
      <c r="P881" s="1">
        <v>1405</v>
      </c>
      <c r="Q881" s="1" t="s">
        <v>42</v>
      </c>
      <c r="S881" s="1" t="s">
        <v>42</v>
      </c>
      <c r="T881" s="1" t="s">
        <v>203</v>
      </c>
      <c r="U881" s="1">
        <v>153</v>
      </c>
      <c r="V881" s="5">
        <v>43678</v>
      </c>
      <c r="W881" s="5">
        <v>42257</v>
      </c>
      <c r="X881" s="1">
        <v>3595000</v>
      </c>
      <c r="Y881" s="1">
        <v>3595000</v>
      </c>
      <c r="Z881" s="5">
        <v>42410</v>
      </c>
      <c r="AA881" s="1">
        <v>3462050</v>
      </c>
      <c r="AB881" s="1" t="s">
        <v>690</v>
      </c>
      <c r="AC881" s="5">
        <v>43208</v>
      </c>
      <c r="AF881" s="1">
        <v>10025</v>
      </c>
      <c r="AJ881" s="1">
        <v>1929</v>
      </c>
      <c r="AK881" s="1" t="s">
        <v>428</v>
      </c>
      <c r="AL881" s="1">
        <v>126</v>
      </c>
    </row>
    <row r="882" spans="1:38" x14ac:dyDescent="0.2">
      <c r="A882" s="2" t="str">
        <f>HYPERLINK("https://www.compass.com/listing/360-central-park-west-unit-6e-manhattan-ny-10025/803360251961275761/","360 Central Park W, Unit 6E")</f>
        <v>360 Central Park W, Unit 6E</v>
      </c>
      <c r="B882" s="2" t="str">
        <f t="shared" si="153"/>
        <v>360 Central Park West</v>
      </c>
      <c r="C882" s="1" t="s">
        <v>47</v>
      </c>
      <c r="D882" s="1" t="s">
        <v>41</v>
      </c>
      <c r="E882" s="3">
        <v>3462050</v>
      </c>
      <c r="F882" s="1">
        <v>1800.33801352054</v>
      </c>
      <c r="G882" s="1">
        <v>5</v>
      </c>
      <c r="H882" s="1">
        <v>3</v>
      </c>
      <c r="I882" s="1">
        <v>3</v>
      </c>
      <c r="J882" s="1">
        <v>2.5</v>
      </c>
      <c r="M882" s="4">
        <v>1923</v>
      </c>
      <c r="N882" s="1">
        <v>2173</v>
      </c>
      <c r="O882" s="1">
        <v>3578</v>
      </c>
      <c r="P882" s="1">
        <v>1405</v>
      </c>
      <c r="Q882" s="1" t="s">
        <v>42</v>
      </c>
      <c r="S882" s="1" t="s">
        <v>42</v>
      </c>
      <c r="T882" s="1" t="s">
        <v>203</v>
      </c>
      <c r="U882" s="1">
        <v>154</v>
      </c>
      <c r="V882" s="5">
        <v>43173</v>
      </c>
      <c r="W882" s="5">
        <v>42255</v>
      </c>
      <c r="X882" s="1">
        <v>3595000</v>
      </c>
      <c r="Y882" s="1">
        <v>3595000</v>
      </c>
      <c r="Z882" s="5">
        <v>42410</v>
      </c>
      <c r="AA882" s="1">
        <v>3462050</v>
      </c>
      <c r="AB882" s="1" t="s">
        <v>690</v>
      </c>
      <c r="AC882" s="5">
        <v>43208</v>
      </c>
      <c r="AF882" s="1">
        <v>10025</v>
      </c>
      <c r="AJ882" s="1">
        <v>1929</v>
      </c>
      <c r="AK882" s="1" t="s">
        <v>428</v>
      </c>
      <c r="AL882" s="1">
        <v>126</v>
      </c>
    </row>
    <row r="883" spans="1:38" x14ac:dyDescent="0.2">
      <c r="A883" s="2" t="str">
        <f>HYPERLINK("https://www.compass.com/listing/30-park-place-unit-44a-manhattan-ny-10007/841759974442501609/","30 Park Pl, Unit 44A")</f>
        <v>30 Park Pl, Unit 44A</v>
      </c>
      <c r="B883" s="2" t="str">
        <f>HYPERLINK("https://www.compass.com/building/30-park-pl-manhattan-ny-10007/281896912905317605/","30 Park Pl")</f>
        <v>30 Park Pl</v>
      </c>
      <c r="C883" s="1" t="s">
        <v>40</v>
      </c>
      <c r="D883" s="1" t="s">
        <v>41</v>
      </c>
      <c r="E883" s="3">
        <v>5600000</v>
      </c>
      <c r="F883" s="1">
        <v>2523.6593059936899</v>
      </c>
      <c r="H883" s="1">
        <v>3</v>
      </c>
      <c r="J883" s="1">
        <v>3</v>
      </c>
      <c r="K883" s="1">
        <v>3</v>
      </c>
      <c r="M883" s="4">
        <v>2219</v>
      </c>
      <c r="N883" s="1">
        <v>1807</v>
      </c>
      <c r="O883" s="1">
        <v>6413</v>
      </c>
      <c r="P883" s="1">
        <v>4606</v>
      </c>
      <c r="Q883" s="1" t="s">
        <v>42</v>
      </c>
      <c r="S883" s="1" t="s">
        <v>42</v>
      </c>
      <c r="T883" s="1" t="s">
        <v>203</v>
      </c>
      <c r="AA883" s="1">
        <v>5600000</v>
      </c>
      <c r="AB883" s="1" t="s">
        <v>691</v>
      </c>
      <c r="AC883" s="5">
        <v>44392</v>
      </c>
      <c r="AF883" s="1">
        <v>10007</v>
      </c>
      <c r="AJ883" s="1">
        <v>2016</v>
      </c>
      <c r="AK883" s="1" t="s">
        <v>50</v>
      </c>
      <c r="AL883" s="1">
        <v>157</v>
      </c>
    </row>
    <row r="884" spans="1:38" x14ac:dyDescent="0.2">
      <c r="A884" s="2" t="str">
        <f>HYPERLINK("https://www.compass.com/listing/200-east-21st-street-unit-5e-manhattan-ny-10010/615110260631773721/","200 E 21st St, Unit 5E")</f>
        <v>200 E 21st St, Unit 5E</v>
      </c>
      <c r="B884" s="2" t="str">
        <f>HYPERLINK("https://www.compass.com/building/200-east-21st-street-manhattan-ny/292796762689658005/","200 East 21st Street")</f>
        <v>200 East 21st Street</v>
      </c>
      <c r="C884" s="1" t="s">
        <v>101</v>
      </c>
      <c r="D884" s="1" t="s">
        <v>41</v>
      </c>
      <c r="E884" s="3">
        <v>1690255</v>
      </c>
      <c r="F884" s="1">
        <v>1641.02384466019</v>
      </c>
      <c r="G884" s="1">
        <v>3</v>
      </c>
      <c r="H884" s="1">
        <v>1</v>
      </c>
      <c r="I884" s="1">
        <v>2</v>
      </c>
      <c r="J884" s="1">
        <v>1.5</v>
      </c>
      <c r="K884" s="1">
        <v>1</v>
      </c>
      <c r="L884" s="1">
        <v>1</v>
      </c>
      <c r="M884" s="4">
        <v>1030</v>
      </c>
      <c r="N884" s="1">
        <v>985</v>
      </c>
      <c r="O884" s="1">
        <v>2181</v>
      </c>
      <c r="P884" s="1">
        <v>1196</v>
      </c>
      <c r="Q884" s="1" t="s">
        <v>335</v>
      </c>
      <c r="S884" s="1" t="s">
        <v>336</v>
      </c>
      <c r="T884" s="1" t="s">
        <v>203</v>
      </c>
      <c r="U884" s="1">
        <v>42</v>
      </c>
      <c r="V884" s="5">
        <v>44146</v>
      </c>
      <c r="W884" s="5">
        <v>44099</v>
      </c>
      <c r="X884" s="1">
        <v>1795000</v>
      </c>
      <c r="Y884" s="1">
        <v>1795000</v>
      </c>
      <c r="AA884" s="1">
        <v>1690254.56</v>
      </c>
      <c r="AB884" s="1" t="s">
        <v>692</v>
      </c>
      <c r="AC884" s="5">
        <v>44141</v>
      </c>
      <c r="AF884" s="1">
        <v>10010</v>
      </c>
      <c r="AI884" s="1" t="s">
        <v>102</v>
      </c>
      <c r="AJ884" s="1">
        <v>2018</v>
      </c>
      <c r="AK884" s="1" t="s">
        <v>55</v>
      </c>
      <c r="AL884" s="1">
        <v>67</v>
      </c>
    </row>
    <row r="885" spans="1:38" x14ac:dyDescent="0.2">
      <c r="A885" s="2" t="str">
        <f>HYPERLINK("https://www.compass.com/listing/225-west-86th-street-unit-phno-manhattan-ny-10024/97028006664560081/","225 W 86th St, Unit PHNO")</f>
        <v>225 W 86th St, Unit PHNO</v>
      </c>
      <c r="B885" s="2" t="str">
        <f>HYPERLINK("https://www.compass.com/building/the-belnord-manhattan-ny/292869672083214101/","The Belnord")</f>
        <v>The Belnord</v>
      </c>
      <c r="C885" s="1" t="s">
        <v>47</v>
      </c>
      <c r="D885" s="1" t="s">
        <v>41</v>
      </c>
      <c r="E885" s="3">
        <v>2560948</v>
      </c>
      <c r="F885" s="1">
        <v>1537.18367346938</v>
      </c>
      <c r="G885" s="1">
        <v>6</v>
      </c>
      <c r="H885" s="1">
        <v>2</v>
      </c>
      <c r="I885" s="1">
        <v>2</v>
      </c>
      <c r="J885" s="1">
        <v>2</v>
      </c>
      <c r="K885" s="1">
        <v>2</v>
      </c>
      <c r="M885" s="4">
        <v>1666</v>
      </c>
      <c r="N885" s="1">
        <v>1630</v>
      </c>
      <c r="O885" s="1">
        <v>3907</v>
      </c>
      <c r="P885" s="1">
        <v>2277</v>
      </c>
      <c r="Q885" s="1" t="s">
        <v>42</v>
      </c>
      <c r="S885" s="1" t="s">
        <v>42</v>
      </c>
      <c r="T885" s="1" t="s">
        <v>203</v>
      </c>
      <c r="V885" s="5">
        <v>43694</v>
      </c>
      <c r="W885" s="5">
        <v>43386</v>
      </c>
      <c r="X885" s="1">
        <v>5010000</v>
      </c>
      <c r="Y885" s="1">
        <v>5010000</v>
      </c>
      <c r="Z885" s="5">
        <v>43386</v>
      </c>
      <c r="AA885" s="1">
        <v>2560948</v>
      </c>
      <c r="AB885" s="1" t="s">
        <v>204</v>
      </c>
      <c r="AC885" s="5">
        <v>43614</v>
      </c>
      <c r="AF885" s="1">
        <v>10024</v>
      </c>
      <c r="AI885" s="1" t="s">
        <v>86</v>
      </c>
      <c r="AJ885" s="1">
        <v>1908</v>
      </c>
      <c r="AK885" s="1" t="s">
        <v>81</v>
      </c>
      <c r="AL885" s="1">
        <v>213</v>
      </c>
    </row>
    <row r="886" spans="1:38" x14ac:dyDescent="0.2">
      <c r="A886" s="2" t="str">
        <f>HYPERLINK("https://www.compass.com/listing/275-west-10th-street-unit-2d-manhattan-ny-10014/29368589832175809/","275 W 10th St, Unit 2D")</f>
        <v>275 W 10th St, Unit 2D</v>
      </c>
      <c r="B886" s="2" t="str">
        <f t="shared" ref="B886:B887" si="154">HYPERLINK("https://www.compass.com/building/the-shephard-manhattan-ny/281931968864632917/","The Shephard")</f>
        <v>The Shephard</v>
      </c>
      <c r="C886" s="1" t="s">
        <v>68</v>
      </c>
      <c r="D886" s="1" t="s">
        <v>41</v>
      </c>
      <c r="E886" s="3">
        <v>9350000</v>
      </c>
      <c r="F886" s="1">
        <v>2981.50510204081</v>
      </c>
      <c r="G886" s="1">
        <v>8</v>
      </c>
      <c r="H886" s="1">
        <v>3</v>
      </c>
      <c r="I886" s="1">
        <v>4</v>
      </c>
      <c r="J886" s="1">
        <v>3.5</v>
      </c>
      <c r="M886" s="4">
        <v>3136</v>
      </c>
      <c r="N886" s="1">
        <v>2882</v>
      </c>
      <c r="O886" s="1">
        <v>6656</v>
      </c>
      <c r="P886" s="1">
        <v>3774</v>
      </c>
      <c r="Q886" s="1" t="s">
        <v>42</v>
      </c>
      <c r="S886" s="1" t="s">
        <v>42</v>
      </c>
      <c r="T886" s="1" t="s">
        <v>203</v>
      </c>
      <c r="V886" s="5">
        <v>43694</v>
      </c>
      <c r="W886" s="5">
        <v>42453</v>
      </c>
      <c r="X886" s="1">
        <v>9350000</v>
      </c>
      <c r="Y886" s="1">
        <v>9350000</v>
      </c>
      <c r="Z886" s="5">
        <v>42453</v>
      </c>
      <c r="AA886" s="1">
        <v>9350000</v>
      </c>
      <c r="AB886" s="1" t="s">
        <v>669</v>
      </c>
      <c r="AC886" s="5">
        <v>42983</v>
      </c>
      <c r="AF886" s="1">
        <v>10014</v>
      </c>
      <c r="AI886" s="1" t="s">
        <v>189</v>
      </c>
      <c r="AJ886" s="1">
        <v>2015</v>
      </c>
      <c r="AK886" s="1" t="s">
        <v>55</v>
      </c>
      <c r="AL886" s="1">
        <v>38</v>
      </c>
    </row>
    <row r="887" spans="1:38" x14ac:dyDescent="0.2">
      <c r="A887" s="2" t="str">
        <f>HYPERLINK("https://www.compass.com/listing/275-west-10th-street-unit-10c-manhattan-ny-10014/29368600653521889/","275 W 10th St, Unit 10C")</f>
        <v>275 W 10th St, Unit 10C</v>
      </c>
      <c r="B887" s="2" t="str">
        <f t="shared" si="154"/>
        <v>The Shephard</v>
      </c>
      <c r="C887" s="1" t="s">
        <v>68</v>
      </c>
      <c r="D887" s="1" t="s">
        <v>41</v>
      </c>
      <c r="E887" s="3">
        <v>6771363</v>
      </c>
      <c r="F887" s="1">
        <v>3080.6929026387602</v>
      </c>
      <c r="G887" s="1">
        <v>5</v>
      </c>
      <c r="H887" s="1">
        <v>3</v>
      </c>
      <c r="I887" s="1">
        <v>4</v>
      </c>
      <c r="J887" s="1">
        <v>3.5</v>
      </c>
      <c r="M887" s="4">
        <v>2198</v>
      </c>
      <c r="N887" s="1">
        <v>2026</v>
      </c>
      <c r="O887" s="1">
        <v>4679</v>
      </c>
      <c r="P887" s="1">
        <v>2653</v>
      </c>
      <c r="Q887" s="1" t="s">
        <v>42</v>
      </c>
      <c r="S887" s="1" t="s">
        <v>42</v>
      </c>
      <c r="T887" s="1" t="s">
        <v>203</v>
      </c>
      <c r="V887" s="5">
        <v>43689</v>
      </c>
      <c r="W887" s="5">
        <v>42285</v>
      </c>
      <c r="X887" s="1">
        <v>6650000</v>
      </c>
      <c r="Y887" s="1">
        <v>6650000</v>
      </c>
      <c r="Z887" s="5">
        <v>42285</v>
      </c>
      <c r="AA887" s="1">
        <v>6771363</v>
      </c>
      <c r="AB887" s="1" t="s">
        <v>670</v>
      </c>
      <c r="AC887" s="5">
        <v>42795</v>
      </c>
      <c r="AF887" s="1">
        <v>10014</v>
      </c>
      <c r="AI887" s="1" t="s">
        <v>67</v>
      </c>
      <c r="AJ887" s="1">
        <v>2015</v>
      </c>
      <c r="AK887" s="1" t="s">
        <v>87</v>
      </c>
      <c r="AL887" s="1">
        <v>38</v>
      </c>
    </row>
    <row r="888" spans="1:38" x14ac:dyDescent="0.2">
      <c r="A888" s="2" t="str">
        <f>HYPERLINK("https://www.compass.com/listing/200-east-21st-street-unit-15c-manhattan-ny-10010/388971383363760721/","200 E 21st St, Unit 15C")</f>
        <v>200 E 21st St, Unit 15C</v>
      </c>
      <c r="B888" s="2" t="str">
        <f t="shared" ref="B888:B890" si="155">HYPERLINK("https://www.compass.com/building/200-east-21st-street-manhattan-ny/292796762689658005/","200 East 21st Street")</f>
        <v>200 East 21st Street</v>
      </c>
      <c r="C888" s="1" t="s">
        <v>101</v>
      </c>
      <c r="D888" s="1" t="s">
        <v>41</v>
      </c>
      <c r="E888" s="3">
        <v>4100255</v>
      </c>
      <c r="F888" s="1">
        <v>2249.17992320351</v>
      </c>
      <c r="G888" s="1">
        <v>6.5</v>
      </c>
      <c r="H888" s="1">
        <v>3</v>
      </c>
      <c r="I888" s="1">
        <v>4</v>
      </c>
      <c r="J888" s="1">
        <v>3.5</v>
      </c>
      <c r="K888" s="1">
        <v>3</v>
      </c>
      <c r="L888" s="1">
        <v>1</v>
      </c>
      <c r="M888" s="4">
        <v>1823</v>
      </c>
      <c r="N888" s="1">
        <v>1872</v>
      </c>
      <c r="O888" s="1">
        <v>3321</v>
      </c>
      <c r="P888" s="1">
        <v>1449</v>
      </c>
      <c r="Q888" s="1" t="s">
        <v>335</v>
      </c>
      <c r="S888" s="1" t="s">
        <v>336</v>
      </c>
      <c r="T888" s="1" t="s">
        <v>203</v>
      </c>
      <c r="V888" s="5">
        <v>43901</v>
      </c>
      <c r="W888" s="5">
        <v>43789</v>
      </c>
      <c r="X888" s="1">
        <v>4600000</v>
      </c>
      <c r="Y888" s="1">
        <v>4600000</v>
      </c>
      <c r="Z888" s="5">
        <v>43789</v>
      </c>
      <c r="AA888" s="1">
        <v>4100255</v>
      </c>
      <c r="AB888" s="1" t="s">
        <v>693</v>
      </c>
      <c r="AC888" s="5">
        <v>43886</v>
      </c>
      <c r="AF888" s="1">
        <v>10010</v>
      </c>
      <c r="AI888" s="1" t="s">
        <v>102</v>
      </c>
      <c r="AJ888" s="1">
        <v>2018</v>
      </c>
      <c r="AK888" s="1" t="s">
        <v>55</v>
      </c>
      <c r="AL888" s="1">
        <v>67</v>
      </c>
    </row>
    <row r="889" spans="1:38" x14ac:dyDescent="0.2">
      <c r="A889" s="2" t="str">
        <f>HYPERLINK("https://www.compass.com/listing/200-east-21st-street-unit-16b-manhattan-ny-10010/602202968047415081/","200 E 21st St, Unit 16B")</f>
        <v>200 E 21st St, Unit 16B</v>
      </c>
      <c r="B889" s="2" t="str">
        <f t="shared" si="155"/>
        <v>200 East 21st Street</v>
      </c>
      <c r="C889" s="1" t="s">
        <v>101</v>
      </c>
      <c r="D889" s="1" t="s">
        <v>41</v>
      </c>
      <c r="E889" s="3">
        <v>6500000</v>
      </c>
      <c r="F889" s="1">
        <v>2407.4074074074001</v>
      </c>
      <c r="G889" s="1">
        <v>6.5</v>
      </c>
      <c r="H889" s="1">
        <v>3</v>
      </c>
      <c r="I889" s="1">
        <v>4</v>
      </c>
      <c r="J889" s="1">
        <v>3.5</v>
      </c>
      <c r="K889" s="1">
        <v>3</v>
      </c>
      <c r="L889" s="1">
        <v>1</v>
      </c>
      <c r="M889" s="4">
        <v>2700</v>
      </c>
      <c r="N889" s="1">
        <v>2845</v>
      </c>
      <c r="O889" s="1">
        <v>6312</v>
      </c>
      <c r="P889" s="1">
        <v>3467</v>
      </c>
      <c r="Q889" s="1" t="s">
        <v>42</v>
      </c>
      <c r="S889" s="1" t="s">
        <v>42</v>
      </c>
      <c r="T889" s="1" t="s">
        <v>203</v>
      </c>
      <c r="V889" s="5">
        <v>44314</v>
      </c>
      <c r="W889" s="5">
        <v>44082</v>
      </c>
      <c r="X889" s="1">
        <v>7250000</v>
      </c>
      <c r="Y889" s="1">
        <v>7250000</v>
      </c>
      <c r="Z889" s="5">
        <v>44082</v>
      </c>
      <c r="AA889" s="1">
        <v>6500000</v>
      </c>
      <c r="AB889" s="1" t="s">
        <v>694</v>
      </c>
      <c r="AC889" s="5">
        <v>44279</v>
      </c>
      <c r="AF889" s="1">
        <v>10010</v>
      </c>
      <c r="AI889" s="1" t="s">
        <v>614</v>
      </c>
      <c r="AJ889" s="1">
        <v>2018</v>
      </c>
      <c r="AK889" s="1" t="s">
        <v>94</v>
      </c>
      <c r="AL889" s="1">
        <v>67</v>
      </c>
    </row>
    <row r="890" spans="1:38" x14ac:dyDescent="0.2">
      <c r="A890" s="2" t="str">
        <f>HYPERLINK("https://www.compass.com/listing/200-east-21st-street-unit-ph-manhattan-ny-10010/556964962743283313/","200 E 21st St, Unit PH")</f>
        <v>200 E 21st St, Unit PH</v>
      </c>
      <c r="B890" s="2" t="str">
        <f t="shared" si="155"/>
        <v>200 East 21st Street</v>
      </c>
      <c r="C890" s="1" t="s">
        <v>101</v>
      </c>
      <c r="D890" s="1" t="s">
        <v>41</v>
      </c>
      <c r="E890" s="3">
        <v>10800000</v>
      </c>
      <c r="F890" s="1">
        <v>2844.3508032657301</v>
      </c>
      <c r="G890" s="1">
        <v>9</v>
      </c>
      <c r="H890" s="1">
        <v>4</v>
      </c>
      <c r="I890" s="1">
        <v>5</v>
      </c>
      <c r="J890" s="1">
        <v>4.5</v>
      </c>
      <c r="K890" s="1">
        <v>4</v>
      </c>
      <c r="L890" s="1">
        <v>1</v>
      </c>
      <c r="M890" s="4">
        <v>3797</v>
      </c>
      <c r="N890" s="1">
        <v>4358</v>
      </c>
      <c r="O890" s="1">
        <v>9669</v>
      </c>
      <c r="P890" s="1">
        <v>5311</v>
      </c>
      <c r="Q890" s="1" t="s">
        <v>42</v>
      </c>
      <c r="S890" s="1" t="s">
        <v>42</v>
      </c>
      <c r="T890" s="1" t="s">
        <v>203</v>
      </c>
      <c r="V890" s="5">
        <v>44314</v>
      </c>
      <c r="W890" s="5">
        <v>44019</v>
      </c>
      <c r="X890" s="1">
        <v>13500000</v>
      </c>
      <c r="Y890" s="1">
        <v>13500000</v>
      </c>
      <c r="Z890" s="5">
        <v>44019</v>
      </c>
      <c r="AA890" s="1">
        <v>10800000</v>
      </c>
      <c r="AB890" s="1" t="s">
        <v>695</v>
      </c>
      <c r="AC890" s="5">
        <v>44278</v>
      </c>
      <c r="AF890" s="1">
        <v>10010</v>
      </c>
      <c r="AI890" s="1" t="s">
        <v>104</v>
      </c>
      <c r="AJ890" s="1">
        <v>2018</v>
      </c>
      <c r="AK890" s="1" t="s">
        <v>81</v>
      </c>
      <c r="AL890" s="1">
        <v>67</v>
      </c>
    </row>
    <row r="891" spans="1:38" x14ac:dyDescent="0.2">
      <c r="A891" s="2" t="str">
        <f>HYPERLINK("https://www.compass.com/listing/275-west-10th-street-unit-6d-manhattan-ny-10014/220095649515894945/","275 W 10th St, Unit 6D")</f>
        <v>275 W 10th St, Unit 6D</v>
      </c>
      <c r="B891" s="2" t="str">
        <f t="shared" ref="B891:B902" si="156">HYPERLINK("https://www.compass.com/building/the-shephard-manhattan-ny/281931968864632917/","The Shephard")</f>
        <v>The Shephard</v>
      </c>
      <c r="C891" s="1" t="s">
        <v>68</v>
      </c>
      <c r="D891" s="1" t="s">
        <v>41</v>
      </c>
      <c r="E891" s="3">
        <v>11800000</v>
      </c>
      <c r="F891" s="1">
        <v>3101.1826544021001</v>
      </c>
      <c r="G891" s="1">
        <v>7</v>
      </c>
      <c r="H891" s="1">
        <v>4</v>
      </c>
      <c r="I891" s="1">
        <v>4</v>
      </c>
      <c r="J891" s="1">
        <v>4</v>
      </c>
      <c r="K891" s="1">
        <v>4</v>
      </c>
      <c r="M891" s="4">
        <v>3805</v>
      </c>
      <c r="N891" s="1">
        <v>3645</v>
      </c>
      <c r="O891" s="1">
        <v>7565</v>
      </c>
      <c r="P891" s="1">
        <v>3920</v>
      </c>
      <c r="Q891" s="1" t="s">
        <v>42</v>
      </c>
      <c r="S891" s="1" t="s">
        <v>42</v>
      </c>
      <c r="T891" s="1" t="s">
        <v>203</v>
      </c>
      <c r="U891" s="1">
        <v>261</v>
      </c>
      <c r="V891" s="5">
        <v>44342</v>
      </c>
      <c r="W891" s="5">
        <v>43555</v>
      </c>
      <c r="X891" s="1">
        <v>13650000</v>
      </c>
      <c r="Y891" s="1">
        <v>12700000</v>
      </c>
      <c r="AA891" s="1">
        <v>11800000</v>
      </c>
      <c r="AB891" s="1" t="s">
        <v>696</v>
      </c>
      <c r="AC891" s="5">
        <v>44340</v>
      </c>
      <c r="AF891" s="1">
        <v>10014</v>
      </c>
      <c r="AI891" s="1" t="s">
        <v>67</v>
      </c>
      <c r="AJ891" s="1">
        <v>2015</v>
      </c>
      <c r="AK891" s="1" t="s">
        <v>87</v>
      </c>
      <c r="AL891" s="1">
        <v>38</v>
      </c>
    </row>
    <row r="892" spans="1:38" x14ac:dyDescent="0.2">
      <c r="A892" s="2" t="str">
        <f>HYPERLINK("https://www.compass.com/listing/275-west-10th-street-unit-3a-manhattan-ny-10014/29368590369088273/","275 W 10th St, Unit 3A")</f>
        <v>275 W 10th St, Unit 3A</v>
      </c>
      <c r="B892" s="2" t="str">
        <f t="shared" si="156"/>
        <v>The Shephard</v>
      </c>
      <c r="C892" s="1" t="s">
        <v>68</v>
      </c>
      <c r="D892" s="1" t="s">
        <v>41</v>
      </c>
      <c r="E892" s="3">
        <v>6975013</v>
      </c>
      <c r="F892" s="1">
        <v>2378.9266712141798</v>
      </c>
      <c r="G892" s="1">
        <v>6</v>
      </c>
      <c r="H892" s="1">
        <v>4</v>
      </c>
      <c r="I892" s="1">
        <v>5</v>
      </c>
      <c r="J892" s="1">
        <v>4.5</v>
      </c>
      <c r="M892" s="4">
        <v>2932</v>
      </c>
      <c r="N892" s="1">
        <v>2703</v>
      </c>
      <c r="O892" s="1">
        <v>6242</v>
      </c>
      <c r="P892" s="1">
        <v>3539</v>
      </c>
      <c r="Q892" s="1" t="s">
        <v>42</v>
      </c>
      <c r="S892" s="1" t="s">
        <v>42</v>
      </c>
      <c r="T892" s="1" t="s">
        <v>203</v>
      </c>
      <c r="U892" s="1">
        <v>42</v>
      </c>
      <c r="V892" s="5">
        <v>43694</v>
      </c>
      <c r="W892" s="5">
        <v>42273</v>
      </c>
      <c r="X892" s="1">
        <v>6850000</v>
      </c>
      <c r="Y892" s="1">
        <v>6850000</v>
      </c>
      <c r="Z892" s="5">
        <v>42315</v>
      </c>
      <c r="AA892" s="1">
        <v>6975013</v>
      </c>
      <c r="AB892" s="1" t="s">
        <v>674</v>
      </c>
      <c r="AC892" s="5">
        <v>42908</v>
      </c>
      <c r="AF892" s="1">
        <v>10014</v>
      </c>
      <c r="AI892" s="1" t="s">
        <v>67</v>
      </c>
      <c r="AJ892" s="1">
        <v>2015</v>
      </c>
      <c r="AK892" s="1" t="s">
        <v>55</v>
      </c>
      <c r="AL892" s="1">
        <v>38</v>
      </c>
    </row>
    <row r="893" spans="1:38" x14ac:dyDescent="0.2">
      <c r="A893" s="2" t="str">
        <f>HYPERLINK("https://www.compass.com/listing/275-west-10th-street-unit-4a-manhattan-ny-10014/29368591258239201/","275 W 10th St, Unit 4A")</f>
        <v>275 W 10th St, Unit 4A</v>
      </c>
      <c r="B893" s="2" t="str">
        <f t="shared" si="156"/>
        <v>The Shephard</v>
      </c>
      <c r="C893" s="1" t="s">
        <v>68</v>
      </c>
      <c r="D893" s="1" t="s">
        <v>41</v>
      </c>
      <c r="E893" s="3">
        <v>6962963</v>
      </c>
      <c r="F893" s="1">
        <v>2374.8168485675301</v>
      </c>
      <c r="G893" s="1">
        <v>7</v>
      </c>
      <c r="H893" s="1">
        <v>4</v>
      </c>
      <c r="I893" s="1">
        <v>5</v>
      </c>
      <c r="J893" s="1">
        <v>4.5</v>
      </c>
      <c r="M893" s="4">
        <v>2932</v>
      </c>
      <c r="N893" s="1">
        <v>2694</v>
      </c>
      <c r="O893" s="1">
        <v>6223</v>
      </c>
      <c r="P893" s="1">
        <v>3529</v>
      </c>
      <c r="Q893" s="1" t="s">
        <v>42</v>
      </c>
      <c r="S893" s="1" t="s">
        <v>42</v>
      </c>
      <c r="T893" s="1" t="s">
        <v>203</v>
      </c>
      <c r="U893" s="1">
        <v>779</v>
      </c>
      <c r="V893" s="5">
        <v>43640</v>
      </c>
      <c r="W893" s="5">
        <v>42326</v>
      </c>
      <c r="X893" s="1">
        <v>7150000</v>
      </c>
      <c r="Y893" s="1">
        <v>6950000</v>
      </c>
      <c r="Z893" s="5">
        <v>43105</v>
      </c>
      <c r="AA893" s="1">
        <v>6962963</v>
      </c>
      <c r="AB893" s="1" t="s">
        <v>697</v>
      </c>
      <c r="AC893" s="5">
        <v>43160</v>
      </c>
      <c r="AF893" s="1">
        <v>10014</v>
      </c>
      <c r="AI893" s="1" t="s">
        <v>67</v>
      </c>
      <c r="AJ893" s="1">
        <v>2015</v>
      </c>
      <c r="AK893" s="1" t="s">
        <v>87</v>
      </c>
      <c r="AL893" s="1">
        <v>38</v>
      </c>
    </row>
    <row r="894" spans="1:38" x14ac:dyDescent="0.2">
      <c r="A894" s="2" t="str">
        <f>HYPERLINK("https://www.compass.com/listing/275-west-10th-street-unit-4c-manhattan-ny-10014/29368591811928881/","275 W 10th St, Unit 4C")</f>
        <v>275 W 10th St, Unit 4C</v>
      </c>
      <c r="B894" s="2" t="str">
        <f t="shared" si="156"/>
        <v>The Shephard</v>
      </c>
      <c r="C894" s="1" t="s">
        <v>68</v>
      </c>
      <c r="D894" s="1" t="s">
        <v>41</v>
      </c>
      <c r="E894" s="3">
        <v>10650000</v>
      </c>
      <c r="F894" s="1">
        <v>2796.0094512995502</v>
      </c>
      <c r="G894" s="1">
        <v>7</v>
      </c>
      <c r="H894" s="1">
        <v>4</v>
      </c>
      <c r="I894" s="1">
        <v>5</v>
      </c>
      <c r="J894" s="1">
        <v>4.5</v>
      </c>
      <c r="M894" s="4">
        <v>3809</v>
      </c>
      <c r="N894" s="1">
        <v>3511</v>
      </c>
      <c r="O894" s="1">
        <v>8109</v>
      </c>
      <c r="P894" s="1">
        <v>4598</v>
      </c>
      <c r="Q894" s="1" t="s">
        <v>42</v>
      </c>
      <c r="S894" s="1" t="s">
        <v>42</v>
      </c>
      <c r="T894" s="1" t="s">
        <v>203</v>
      </c>
      <c r="U894" s="1">
        <v>556</v>
      </c>
      <c r="V894" s="5">
        <v>43694</v>
      </c>
      <c r="W894" s="5">
        <v>42273</v>
      </c>
      <c r="X894" s="1">
        <v>11500000</v>
      </c>
      <c r="Y894" s="1">
        <v>10795000</v>
      </c>
      <c r="Z894" s="5">
        <v>42829</v>
      </c>
      <c r="AA894" s="1">
        <v>10650000</v>
      </c>
      <c r="AB894" s="1" t="s">
        <v>675</v>
      </c>
      <c r="AC894" s="5">
        <v>42923</v>
      </c>
      <c r="AF894" s="1">
        <v>10014</v>
      </c>
      <c r="AI894" s="1" t="s">
        <v>67</v>
      </c>
      <c r="AJ894" s="1">
        <v>2015</v>
      </c>
      <c r="AK894" s="1" t="s">
        <v>55</v>
      </c>
      <c r="AL894" s="1">
        <v>38</v>
      </c>
    </row>
    <row r="895" spans="1:38" x14ac:dyDescent="0.2">
      <c r="A895" s="2" t="str">
        <f>HYPERLINK("https://www.compass.com/listing/275-west-10th-street-unit-6a-manhattan-ny-10014/29368593716142929/","275 W 10th St, Unit 6A")</f>
        <v>275 W 10th St, Unit 6A</v>
      </c>
      <c r="B895" s="2" t="str">
        <f t="shared" si="156"/>
        <v>The Shephard</v>
      </c>
      <c r="C895" s="1" t="s">
        <v>68</v>
      </c>
      <c r="D895" s="1" t="s">
        <v>41</v>
      </c>
      <c r="E895" s="3">
        <v>7150000</v>
      </c>
      <c r="F895" s="1">
        <v>2438.6084583901702</v>
      </c>
      <c r="G895" s="1">
        <v>7</v>
      </c>
      <c r="H895" s="1">
        <v>4</v>
      </c>
      <c r="I895" s="1">
        <v>5</v>
      </c>
      <c r="J895" s="1">
        <v>4.5</v>
      </c>
      <c r="M895" s="4">
        <v>2932</v>
      </c>
      <c r="N895" s="1">
        <v>2694</v>
      </c>
      <c r="O895" s="1">
        <v>6223</v>
      </c>
      <c r="P895" s="1">
        <v>3529</v>
      </c>
      <c r="Q895" s="1" t="s">
        <v>42</v>
      </c>
      <c r="S895" s="1" t="s">
        <v>42</v>
      </c>
      <c r="T895" s="1" t="s">
        <v>203</v>
      </c>
      <c r="V895" s="5">
        <v>43689</v>
      </c>
      <c r="W895" s="5">
        <v>42598</v>
      </c>
      <c r="X895" s="1">
        <v>7550000</v>
      </c>
      <c r="Y895" s="1">
        <v>7550000</v>
      </c>
      <c r="Z895" s="5">
        <v>42598</v>
      </c>
      <c r="AA895" s="1">
        <v>7150000</v>
      </c>
      <c r="AB895" s="1" t="s">
        <v>676</v>
      </c>
      <c r="AC895" s="5">
        <v>42788</v>
      </c>
      <c r="AF895" s="1">
        <v>10014</v>
      </c>
      <c r="AI895" s="1" t="s">
        <v>67</v>
      </c>
      <c r="AJ895" s="1">
        <v>2015</v>
      </c>
      <c r="AK895" s="1" t="s">
        <v>87</v>
      </c>
      <c r="AL895" s="1">
        <v>38</v>
      </c>
    </row>
    <row r="896" spans="1:38" x14ac:dyDescent="0.2">
      <c r="A896" s="2" t="str">
        <f>HYPERLINK("https://www.compass.com/listing/275-west-10th-street-unit-6d-manhattan-ny-10014/29368594714345745/","275 W 10th St, Unit 6D")</f>
        <v>275 W 10th St, Unit 6D</v>
      </c>
      <c r="B896" s="2" t="str">
        <f t="shared" si="156"/>
        <v>The Shephard</v>
      </c>
      <c r="C896" s="1" t="s">
        <v>68</v>
      </c>
      <c r="D896" s="1" t="s">
        <v>41</v>
      </c>
      <c r="E896" s="3">
        <v>12042734</v>
      </c>
      <c r="F896" s="1">
        <v>3164.9760840998601</v>
      </c>
      <c r="G896" s="1">
        <v>7</v>
      </c>
      <c r="H896" s="1">
        <v>4</v>
      </c>
      <c r="I896" s="1">
        <v>5</v>
      </c>
      <c r="J896" s="1">
        <v>4.5</v>
      </c>
      <c r="M896" s="4">
        <v>3805</v>
      </c>
      <c r="N896" s="1">
        <v>3507</v>
      </c>
      <c r="O896" s="1">
        <v>8100</v>
      </c>
      <c r="P896" s="1">
        <v>4593</v>
      </c>
      <c r="Q896" s="1" t="s">
        <v>42</v>
      </c>
      <c r="S896" s="1" t="s">
        <v>42</v>
      </c>
      <c r="T896" s="1" t="s">
        <v>203</v>
      </c>
      <c r="U896" s="1">
        <v>259</v>
      </c>
      <c r="V896" s="5">
        <v>43650</v>
      </c>
      <c r="W896" s="5">
        <v>42697</v>
      </c>
      <c r="X896" s="1">
        <v>11975000</v>
      </c>
      <c r="Y896" s="1">
        <v>11975000</v>
      </c>
      <c r="Z896" s="5">
        <v>42956</v>
      </c>
      <c r="AA896" s="1">
        <v>12042734</v>
      </c>
      <c r="AB896" s="1" t="s">
        <v>698</v>
      </c>
      <c r="AC896" s="5">
        <v>42980</v>
      </c>
      <c r="AF896" s="1">
        <v>10014</v>
      </c>
      <c r="AI896" s="1" t="s">
        <v>67</v>
      </c>
      <c r="AJ896" s="1">
        <v>2015</v>
      </c>
      <c r="AK896" s="1" t="s">
        <v>55</v>
      </c>
      <c r="AL896" s="1">
        <v>38</v>
      </c>
    </row>
    <row r="897" spans="1:38" x14ac:dyDescent="0.2">
      <c r="A897" s="2" t="str">
        <f>HYPERLINK("https://www.compass.com/listing/275-west-10th-street-unit-7a-manhattan-ny-10014/29368595158983537/","275 W 10th St, Unit 7A")</f>
        <v>275 W 10th St, Unit 7A</v>
      </c>
      <c r="B897" s="2" t="str">
        <f t="shared" si="156"/>
        <v>The Shephard</v>
      </c>
      <c r="C897" s="1" t="s">
        <v>68</v>
      </c>
      <c r="D897" s="1" t="s">
        <v>41</v>
      </c>
      <c r="E897" s="3">
        <v>7350000</v>
      </c>
      <c r="F897" s="1">
        <v>2506.8212824010898</v>
      </c>
      <c r="G897" s="1">
        <v>7</v>
      </c>
      <c r="H897" s="1">
        <v>4</v>
      </c>
      <c r="I897" s="1">
        <v>5</v>
      </c>
      <c r="J897" s="1">
        <v>4.5</v>
      </c>
      <c r="M897" s="4">
        <v>2932</v>
      </c>
      <c r="N897" s="1">
        <v>2694</v>
      </c>
      <c r="O897" s="1">
        <v>6223</v>
      </c>
      <c r="P897" s="1">
        <v>3529</v>
      </c>
      <c r="Q897" s="1" t="s">
        <v>42</v>
      </c>
      <c r="S897" s="1" t="s">
        <v>42</v>
      </c>
      <c r="T897" s="1" t="s">
        <v>203</v>
      </c>
      <c r="U897" s="1">
        <v>214</v>
      </c>
      <c r="V897" s="5">
        <v>43694</v>
      </c>
      <c r="W897" s="5">
        <v>42713</v>
      </c>
      <c r="X897" s="1">
        <v>7450000</v>
      </c>
      <c r="Y897" s="1">
        <v>7450000</v>
      </c>
      <c r="Z897" s="5">
        <v>42927</v>
      </c>
      <c r="AA897" s="1">
        <v>7350000</v>
      </c>
      <c r="AB897" s="1" t="s">
        <v>677</v>
      </c>
      <c r="AC897" s="5">
        <v>42964</v>
      </c>
      <c r="AF897" s="1">
        <v>10014</v>
      </c>
      <c r="AI897" s="1" t="s">
        <v>67</v>
      </c>
      <c r="AJ897" s="1">
        <v>2015</v>
      </c>
      <c r="AK897" s="1" t="s">
        <v>55</v>
      </c>
      <c r="AL897" s="1">
        <v>38</v>
      </c>
    </row>
    <row r="898" spans="1:38" x14ac:dyDescent="0.2">
      <c r="A898" s="2" t="str">
        <f>HYPERLINK("https://www.compass.com/listing/275-west-10th-street-unit-9c-manhattan-ny-10014/29368599210681281/","275 W 10th St, Unit 9C")</f>
        <v>275 W 10th St, Unit 9C</v>
      </c>
      <c r="B898" s="2" t="str">
        <f t="shared" si="156"/>
        <v>The Shephard</v>
      </c>
      <c r="C898" s="1" t="s">
        <v>68</v>
      </c>
      <c r="D898" s="1" t="s">
        <v>41</v>
      </c>
      <c r="E898" s="3">
        <v>12450000</v>
      </c>
      <c r="F898" s="1">
        <v>3232.9265125941301</v>
      </c>
      <c r="G898" s="1">
        <v>9</v>
      </c>
      <c r="H898" s="1">
        <v>4</v>
      </c>
      <c r="I898" s="1">
        <v>5</v>
      </c>
      <c r="J898" s="1">
        <v>4.5</v>
      </c>
      <c r="M898" s="4">
        <v>3851</v>
      </c>
      <c r="N898" s="1">
        <v>3539</v>
      </c>
      <c r="O898" s="1">
        <v>8174</v>
      </c>
      <c r="P898" s="1">
        <v>4635</v>
      </c>
      <c r="Q898" s="1" t="s">
        <v>42</v>
      </c>
      <c r="S898" s="1" t="s">
        <v>42</v>
      </c>
      <c r="T898" s="1" t="s">
        <v>203</v>
      </c>
      <c r="U898" s="1">
        <v>217</v>
      </c>
      <c r="V898" s="5">
        <v>43684</v>
      </c>
      <c r="W898" s="5">
        <v>42447</v>
      </c>
      <c r="X898" s="1">
        <v>12795000</v>
      </c>
      <c r="Y898" s="1">
        <v>12795000</v>
      </c>
      <c r="Z898" s="5">
        <v>42664</v>
      </c>
      <c r="AA898" s="1">
        <v>12450000</v>
      </c>
      <c r="AB898" s="1" t="s">
        <v>678</v>
      </c>
      <c r="AC898" s="5">
        <v>42838</v>
      </c>
      <c r="AF898" s="1">
        <v>10014</v>
      </c>
      <c r="AI898" s="1" t="s">
        <v>67</v>
      </c>
      <c r="AJ898" s="1">
        <v>2015</v>
      </c>
      <c r="AK898" s="1" t="s">
        <v>55</v>
      </c>
      <c r="AL898" s="1">
        <v>38</v>
      </c>
    </row>
    <row r="899" spans="1:38" x14ac:dyDescent="0.2">
      <c r="A899" s="2" t="str">
        <f>HYPERLINK("https://www.compass.com/listing/275-west-10th-street-unit-10a-manhattan-ny-10014/29368599739167153/","275 W 10th St, Unit 10A")</f>
        <v>275 W 10th St, Unit 10A</v>
      </c>
      <c r="B899" s="2" t="str">
        <f t="shared" si="156"/>
        <v>The Shephard</v>
      </c>
      <c r="C899" s="1" t="s">
        <v>68</v>
      </c>
      <c r="D899" s="1" t="s">
        <v>41</v>
      </c>
      <c r="E899" s="3">
        <v>12795000</v>
      </c>
      <c r="F899" s="1">
        <v>3411.0903758997601</v>
      </c>
      <c r="G899" s="1">
        <v>7</v>
      </c>
      <c r="H899" s="1">
        <v>4</v>
      </c>
      <c r="I899" s="1">
        <v>5</v>
      </c>
      <c r="J899" s="1">
        <v>4.5</v>
      </c>
      <c r="M899" s="4">
        <v>3751</v>
      </c>
      <c r="N899" s="1">
        <v>3447</v>
      </c>
      <c r="O899" s="1">
        <v>7961</v>
      </c>
      <c r="P899" s="1">
        <v>4514</v>
      </c>
      <c r="Q899" s="1" t="s">
        <v>42</v>
      </c>
      <c r="S899" s="1" t="s">
        <v>42</v>
      </c>
      <c r="T899" s="1" t="s">
        <v>203</v>
      </c>
      <c r="U899" s="1">
        <v>22</v>
      </c>
      <c r="V899" s="5">
        <v>43689</v>
      </c>
      <c r="W899" s="5">
        <v>42705</v>
      </c>
      <c r="X899" s="1">
        <v>12795000</v>
      </c>
      <c r="Y899" s="1">
        <v>12795000</v>
      </c>
      <c r="Z899" s="5">
        <v>42727</v>
      </c>
      <c r="AA899" s="1">
        <v>12795000</v>
      </c>
      <c r="AB899" s="1" t="s">
        <v>679</v>
      </c>
      <c r="AC899" s="5">
        <v>42832</v>
      </c>
      <c r="AF899" s="1">
        <v>10014</v>
      </c>
      <c r="AI899" s="1" t="s">
        <v>67</v>
      </c>
      <c r="AJ899" s="1">
        <v>2015</v>
      </c>
      <c r="AK899" s="1" t="s">
        <v>87</v>
      </c>
      <c r="AL899" s="1">
        <v>38</v>
      </c>
    </row>
    <row r="900" spans="1:38" x14ac:dyDescent="0.2">
      <c r="A900" s="2" t="str">
        <f>HYPERLINK("https://www.compass.com/listing/275-west-10th-street-unit-phc-manhattan-ny-10014/29368602759066081/","275 W 10th St, Unit PHC")</f>
        <v>275 W 10th St, Unit PHC</v>
      </c>
      <c r="B900" s="2" t="str">
        <f t="shared" si="156"/>
        <v>The Shephard</v>
      </c>
      <c r="C900" s="1" t="s">
        <v>68</v>
      </c>
      <c r="D900" s="1" t="s">
        <v>41</v>
      </c>
      <c r="E900" s="3">
        <v>34620500</v>
      </c>
      <c r="F900" s="1">
        <v>5784.5446950710102</v>
      </c>
      <c r="G900" s="1">
        <v>9</v>
      </c>
      <c r="H900" s="1">
        <v>5</v>
      </c>
      <c r="I900" s="1">
        <v>6</v>
      </c>
      <c r="J900" s="1">
        <v>5.5</v>
      </c>
      <c r="M900" s="4">
        <v>5985</v>
      </c>
      <c r="N900" s="1">
        <v>6206</v>
      </c>
      <c r="O900" s="1">
        <v>14333</v>
      </c>
      <c r="P900" s="1">
        <v>8127</v>
      </c>
      <c r="Q900" s="1" t="s">
        <v>42</v>
      </c>
      <c r="S900" s="1" t="s">
        <v>42</v>
      </c>
      <c r="T900" s="1" t="s">
        <v>203</v>
      </c>
      <c r="U900" s="1">
        <v>586</v>
      </c>
      <c r="V900" s="5">
        <v>43694</v>
      </c>
      <c r="W900" s="5">
        <v>42404</v>
      </c>
      <c r="X900" s="1">
        <v>29500000</v>
      </c>
      <c r="Y900" s="1">
        <v>29500000</v>
      </c>
      <c r="Z900" s="5">
        <v>42990</v>
      </c>
      <c r="AA900" s="1">
        <v>34620500</v>
      </c>
      <c r="AB900" s="1" t="s">
        <v>680</v>
      </c>
      <c r="AC900" s="5">
        <v>43083</v>
      </c>
      <c r="AF900" s="1">
        <v>10014</v>
      </c>
      <c r="AI900" s="1" t="s">
        <v>189</v>
      </c>
      <c r="AJ900" s="1">
        <v>2015</v>
      </c>
      <c r="AK900" s="1" t="s">
        <v>55</v>
      </c>
      <c r="AL900" s="1">
        <v>38</v>
      </c>
    </row>
    <row r="901" spans="1:38" x14ac:dyDescent="0.2">
      <c r="A901" s="2" t="str">
        <f>HYPERLINK("https://www.compass.com/listing/275-west-10th-street-unit-6d-manhattan-ny-10014/803335318316926641/","275 W 10th St, Unit 6D")</f>
        <v>275 W 10th St, Unit 6D</v>
      </c>
      <c r="B901" s="2" t="str">
        <f t="shared" si="156"/>
        <v>The Shephard</v>
      </c>
      <c r="C901" s="1" t="s">
        <v>68</v>
      </c>
      <c r="D901" s="1" t="s">
        <v>41</v>
      </c>
      <c r="E901" s="3">
        <v>11800000</v>
      </c>
      <c r="F901" s="1">
        <v>3101.1826544021001</v>
      </c>
      <c r="G901" s="1">
        <v>7</v>
      </c>
      <c r="H901" s="1">
        <v>4</v>
      </c>
      <c r="I901" s="1">
        <v>4</v>
      </c>
      <c r="J901" s="1">
        <v>4</v>
      </c>
      <c r="K901" s="1">
        <v>4</v>
      </c>
      <c r="M901" s="4">
        <v>3805</v>
      </c>
      <c r="N901" s="1">
        <v>3645</v>
      </c>
      <c r="O901" s="1">
        <v>7565</v>
      </c>
      <c r="P901" s="1">
        <v>3920</v>
      </c>
      <c r="Q901" s="1" t="s">
        <v>42</v>
      </c>
      <c r="S901" s="1" t="s">
        <v>42</v>
      </c>
      <c r="T901" s="1" t="s">
        <v>203</v>
      </c>
      <c r="U901" s="1">
        <v>633</v>
      </c>
      <c r="V901" s="5">
        <v>44350</v>
      </c>
      <c r="W901" s="5">
        <v>43544</v>
      </c>
      <c r="Z901" s="5">
        <v>44272</v>
      </c>
      <c r="AA901" s="1">
        <v>11800000</v>
      </c>
      <c r="AB901" s="1" t="s">
        <v>696</v>
      </c>
      <c r="AC901" s="5">
        <v>44340</v>
      </c>
      <c r="AF901" s="1">
        <v>10014</v>
      </c>
      <c r="AI901" s="1" t="s">
        <v>67</v>
      </c>
      <c r="AJ901" s="1">
        <v>2015</v>
      </c>
      <c r="AK901" s="1" t="s">
        <v>55</v>
      </c>
      <c r="AL901" s="1">
        <v>38</v>
      </c>
    </row>
    <row r="902" spans="1:38" x14ac:dyDescent="0.2">
      <c r="A902" s="2" t="str">
        <f>HYPERLINK("https://www.compass.com/listing/275-west-10th-street-unit-4a-manhattan-ny-10014/803352804144003057/","275 W 10th St, Unit 4A")</f>
        <v>275 W 10th St, Unit 4A</v>
      </c>
      <c r="B902" s="2" t="str">
        <f t="shared" si="156"/>
        <v>The Shephard</v>
      </c>
      <c r="C902" s="1" t="s">
        <v>68</v>
      </c>
      <c r="D902" s="1" t="s">
        <v>41</v>
      </c>
      <c r="E902" s="3">
        <v>6962963</v>
      </c>
      <c r="F902" s="1">
        <v>2374.81667803547</v>
      </c>
      <c r="G902" s="1">
        <v>7</v>
      </c>
      <c r="H902" s="1">
        <v>4</v>
      </c>
      <c r="I902" s="1">
        <v>5</v>
      </c>
      <c r="J902" s="1">
        <v>4.5</v>
      </c>
      <c r="K902" s="1">
        <v>4</v>
      </c>
      <c r="L902" s="1">
        <v>1</v>
      </c>
      <c r="M902" s="4">
        <v>2932</v>
      </c>
      <c r="N902" s="1">
        <v>2694</v>
      </c>
      <c r="O902" s="1">
        <v>6223</v>
      </c>
      <c r="P902" s="1">
        <v>3529</v>
      </c>
      <c r="Q902" s="1" t="s">
        <v>42</v>
      </c>
      <c r="S902" s="1" t="s">
        <v>42</v>
      </c>
      <c r="T902" s="1" t="s">
        <v>203</v>
      </c>
      <c r="U902" s="1">
        <v>834</v>
      </c>
      <c r="V902" s="5">
        <v>43678</v>
      </c>
      <c r="W902" s="5">
        <v>42325</v>
      </c>
      <c r="X902" s="1">
        <v>7150000</v>
      </c>
      <c r="Y902" s="1">
        <v>7150000</v>
      </c>
      <c r="AA902" s="1">
        <v>6962962.5</v>
      </c>
      <c r="AB902" s="1" t="s">
        <v>697</v>
      </c>
      <c r="AC902" s="5">
        <v>43159</v>
      </c>
      <c r="AF902" s="1">
        <v>10014</v>
      </c>
      <c r="AI902" s="1" t="s">
        <v>67</v>
      </c>
      <c r="AJ902" s="1">
        <v>2015</v>
      </c>
      <c r="AK902" s="1" t="s">
        <v>87</v>
      </c>
      <c r="AL902" s="1">
        <v>38</v>
      </c>
    </row>
    <row r="903" spans="1:38" x14ac:dyDescent="0.2">
      <c r="A903" s="2" t="str">
        <f>HYPERLINK("https://www.compass.com/listing/200-east-21st-street-unit-5e-manhattan-ny-10010/350532645355596177/","200 E 21st St, Unit 5E")</f>
        <v>200 E 21st St, Unit 5E</v>
      </c>
      <c r="B903" s="2" t="str">
        <f>HYPERLINK("https://www.compass.com/building/200-east-21st-street-manhattan-ny/292796762689658005/","200 East 21st Street")</f>
        <v>200 East 21st Street</v>
      </c>
      <c r="C903" s="1" t="s">
        <v>101</v>
      </c>
      <c r="D903" s="1" t="s">
        <v>41</v>
      </c>
      <c r="E903" s="3">
        <v>1690255</v>
      </c>
      <c r="F903" s="1">
        <v>1641.02384466019</v>
      </c>
      <c r="G903" s="1">
        <v>3</v>
      </c>
      <c r="H903" s="1">
        <v>1</v>
      </c>
      <c r="I903" s="1">
        <v>2</v>
      </c>
      <c r="J903" s="1">
        <v>1.5</v>
      </c>
      <c r="K903" s="1">
        <v>1</v>
      </c>
      <c r="L903" s="1">
        <v>1</v>
      </c>
      <c r="M903" s="4">
        <v>1030</v>
      </c>
      <c r="N903" s="1">
        <v>982</v>
      </c>
      <c r="O903" s="1">
        <v>2178</v>
      </c>
      <c r="P903" s="1">
        <v>1196</v>
      </c>
      <c r="Q903" s="1" t="s">
        <v>335</v>
      </c>
      <c r="S903" s="1" t="s">
        <v>336</v>
      </c>
      <c r="T903" s="1" t="s">
        <v>203</v>
      </c>
      <c r="U903" s="1">
        <v>254</v>
      </c>
      <c r="V903" s="5">
        <v>44084</v>
      </c>
      <c r="W903" s="5">
        <v>43734</v>
      </c>
      <c r="X903" s="1">
        <v>1900000</v>
      </c>
      <c r="Y903" s="1">
        <v>1795000</v>
      </c>
      <c r="AA903" s="1">
        <v>1690254.56</v>
      </c>
      <c r="AB903" s="1" t="s">
        <v>692</v>
      </c>
      <c r="AC903" s="5">
        <v>44141</v>
      </c>
      <c r="AF903" s="1">
        <v>10010</v>
      </c>
      <c r="AI903" s="1" t="s">
        <v>102</v>
      </c>
      <c r="AJ903" s="1">
        <v>2018</v>
      </c>
      <c r="AK903" s="1" t="s">
        <v>55</v>
      </c>
      <c r="AL903" s="1">
        <v>67</v>
      </c>
    </row>
    <row r="904" spans="1:38" x14ac:dyDescent="0.2">
      <c r="A904" s="2" t="str">
        <f>HYPERLINK("https://www.compass.com/listing/189-avenue-c-unit-2a-manhattan-ny-10009/70918469541024049/","189 Avenue C, Unit 2A")</f>
        <v>189 Avenue C, Unit 2A</v>
      </c>
      <c r="B904" s="2" t="str">
        <f>HYPERLINK("https://www.compass.com/building/the-calyx-manhattan-ny/426959097439640773/","The Calyx")</f>
        <v>The Calyx</v>
      </c>
      <c r="C904" s="1" t="s">
        <v>88</v>
      </c>
      <c r="D904" s="1" t="s">
        <v>41</v>
      </c>
      <c r="E904" s="3">
        <v>549855</v>
      </c>
      <c r="F904" s="1">
        <v>892.62175324675297</v>
      </c>
      <c r="G904" s="1">
        <v>2</v>
      </c>
      <c r="H904" s="1" t="s">
        <v>77</v>
      </c>
      <c r="I904" s="1">
        <v>1</v>
      </c>
      <c r="J904" s="1">
        <v>1</v>
      </c>
      <c r="K904" s="1">
        <v>1</v>
      </c>
      <c r="M904" s="1">
        <v>616</v>
      </c>
      <c r="N904" s="1">
        <v>433.51</v>
      </c>
      <c r="O904" s="1">
        <v>749.62</v>
      </c>
      <c r="P904" s="1">
        <v>316.08333333333297</v>
      </c>
      <c r="Q904" s="1" t="s">
        <v>339</v>
      </c>
      <c r="S904" s="1" t="s">
        <v>340</v>
      </c>
      <c r="T904" s="1" t="s">
        <v>203</v>
      </c>
      <c r="V904" s="5">
        <v>43642</v>
      </c>
      <c r="W904" s="5">
        <v>42469</v>
      </c>
      <c r="X904" s="1">
        <v>540000</v>
      </c>
      <c r="Y904" s="1">
        <v>540000</v>
      </c>
      <c r="Z904" s="5">
        <v>42469</v>
      </c>
      <c r="AA904" s="1">
        <v>549855</v>
      </c>
      <c r="AB904" s="1" t="s">
        <v>521</v>
      </c>
      <c r="AC904" s="5">
        <v>42487</v>
      </c>
      <c r="AF904" s="1">
        <v>10009</v>
      </c>
      <c r="AI904" s="1" t="s">
        <v>73</v>
      </c>
      <c r="AJ904" s="1">
        <v>2011</v>
      </c>
      <c r="AK904" s="1" t="s">
        <v>341</v>
      </c>
      <c r="AL904" s="1">
        <v>35</v>
      </c>
    </row>
    <row r="905" spans="1:38" x14ac:dyDescent="0.2">
      <c r="A905" s="2" t="str">
        <f>HYPERLINK("https://www.compass.com/listing/150-east-23rd-street-unit-9d-manhattan-ny-10010/122395327897592945/","150 E 23rd St, Unit 9D")</f>
        <v>150 E 23rd St, Unit 9D</v>
      </c>
      <c r="B905" s="2" t="str">
        <f>HYPERLINK("https://www.compass.com/building/celeste-gramercy-manhattan-ny/292795972759607813/","Celeste Gramercy")</f>
        <v>Celeste Gramercy</v>
      </c>
      <c r="C905" s="1" t="s">
        <v>101</v>
      </c>
      <c r="D905" s="1" t="s">
        <v>41</v>
      </c>
      <c r="E905" s="3">
        <v>2600000</v>
      </c>
      <c r="F905" s="1">
        <v>1996.9278033794101</v>
      </c>
      <c r="G905" s="1">
        <v>4</v>
      </c>
      <c r="H905" s="1">
        <v>2</v>
      </c>
      <c r="I905" s="1">
        <v>3</v>
      </c>
      <c r="J905" s="1">
        <v>2.5</v>
      </c>
      <c r="K905" s="1">
        <v>2</v>
      </c>
      <c r="L905" s="1">
        <v>1</v>
      </c>
      <c r="M905" s="4">
        <v>1302</v>
      </c>
      <c r="N905" s="1">
        <v>1785</v>
      </c>
      <c r="O905" s="1">
        <v>3458</v>
      </c>
      <c r="P905" s="1">
        <v>1673</v>
      </c>
      <c r="Q905" s="1" t="s">
        <v>42</v>
      </c>
      <c r="S905" s="1" t="s">
        <v>42</v>
      </c>
      <c r="T905" s="1" t="s">
        <v>203</v>
      </c>
      <c r="V905" s="5">
        <v>44412</v>
      </c>
      <c r="W905" s="5">
        <v>44279</v>
      </c>
      <c r="Y905" s="1">
        <v>2600000</v>
      </c>
      <c r="Z905" s="5">
        <v>44279</v>
      </c>
      <c r="AA905" s="1">
        <v>2600000</v>
      </c>
      <c r="AB905" s="1" t="s">
        <v>204</v>
      </c>
      <c r="AC905" s="5">
        <v>44411</v>
      </c>
      <c r="AF905" s="1">
        <v>10010</v>
      </c>
      <c r="AI905" s="1" t="s">
        <v>45</v>
      </c>
      <c r="AJ905" s="1">
        <v>2018</v>
      </c>
      <c r="AK905" s="1" t="s">
        <v>81</v>
      </c>
      <c r="AL905" s="1">
        <v>51</v>
      </c>
    </row>
    <row r="906" spans="1:38" x14ac:dyDescent="0.2">
      <c r="A906" s="2" t="str">
        <f>HYPERLINK("https://www.compass.com/listing/275-west-10th-street-unit-10b-manhattan-ny-10014/29368600225661329/","275 W 10th St, Unit 10B")</f>
        <v>275 W 10th St, Unit 10B</v>
      </c>
      <c r="B906" s="2" t="str">
        <f>HYPERLINK("https://www.compass.com/building/the-shephard-manhattan-ny/281931968864632917/","The Shephard")</f>
        <v>The Shephard</v>
      </c>
      <c r="C906" s="1" t="s">
        <v>68</v>
      </c>
      <c r="D906" s="1" t="s">
        <v>41</v>
      </c>
      <c r="E906" s="3">
        <v>12225937</v>
      </c>
      <c r="F906" s="1">
        <v>3339.5075116088501</v>
      </c>
      <c r="G906" s="1">
        <v>7</v>
      </c>
      <c r="H906" s="1">
        <v>4</v>
      </c>
      <c r="I906" s="1">
        <v>5</v>
      </c>
      <c r="J906" s="1">
        <v>0.5</v>
      </c>
      <c r="L906" s="1">
        <v>1</v>
      </c>
      <c r="M906" s="4">
        <v>3661</v>
      </c>
      <c r="N906" s="1">
        <v>3375</v>
      </c>
      <c r="O906" s="1">
        <v>7794</v>
      </c>
      <c r="P906" s="1">
        <v>4419</v>
      </c>
      <c r="Q906" s="1" t="s">
        <v>42</v>
      </c>
      <c r="S906" s="1" t="s">
        <v>42</v>
      </c>
      <c r="T906" s="1" t="s">
        <v>203</v>
      </c>
      <c r="V906" s="5">
        <v>43662</v>
      </c>
      <c r="W906" s="5">
        <v>42297</v>
      </c>
      <c r="X906" s="1">
        <v>12150000</v>
      </c>
      <c r="Y906" s="1">
        <v>12150000</v>
      </c>
      <c r="Z906" s="5">
        <v>42297</v>
      </c>
      <c r="AA906" s="1">
        <v>12225937</v>
      </c>
      <c r="AB906" s="1" t="s">
        <v>699</v>
      </c>
      <c r="AC906" s="5">
        <v>42794</v>
      </c>
      <c r="AF906" s="1">
        <v>10014</v>
      </c>
      <c r="AI906" s="1" t="s">
        <v>86</v>
      </c>
      <c r="AJ906" s="1">
        <v>2015</v>
      </c>
      <c r="AK906" s="1" t="s">
        <v>87</v>
      </c>
      <c r="AL906" s="1">
        <v>38</v>
      </c>
    </row>
    <row r="907" spans="1:38" x14ac:dyDescent="0.2">
      <c r="A907" s="2" t="str">
        <f>HYPERLINK("https://www.compass.com/listing/225-west-86th-street-unit-115-manhattan-ny-10024/101407042501158273/","225 W 86th St, Unit 115")</f>
        <v>225 W 86th St, Unit 115</v>
      </c>
      <c r="B907" s="2" t="str">
        <f>HYPERLINK("https://www.compass.com/building/the-belnord-manhattan-ny/292869672083214101/","The Belnord")</f>
        <v>The Belnord</v>
      </c>
      <c r="C907" s="1" t="s">
        <v>47</v>
      </c>
      <c r="D907" s="1" t="s">
        <v>41</v>
      </c>
      <c r="E907" s="3">
        <v>2763200</v>
      </c>
      <c r="F907" s="1">
        <v>1825.09907529722</v>
      </c>
      <c r="G907" s="1">
        <v>4.5</v>
      </c>
      <c r="H907" s="1">
        <v>2</v>
      </c>
      <c r="I907" s="1">
        <v>2</v>
      </c>
      <c r="J907" s="1">
        <v>2</v>
      </c>
      <c r="K907" s="1">
        <v>2</v>
      </c>
      <c r="M907" s="4">
        <v>1514</v>
      </c>
      <c r="N907" s="1">
        <v>1270</v>
      </c>
      <c r="O907" s="1">
        <v>3251</v>
      </c>
      <c r="P907" s="1">
        <v>1981</v>
      </c>
      <c r="Q907" s="1" t="s">
        <v>42</v>
      </c>
      <c r="S907" s="1" t="s">
        <v>42</v>
      </c>
      <c r="T907" s="1" t="s">
        <v>203</v>
      </c>
      <c r="V907" s="5">
        <v>43694</v>
      </c>
      <c r="W907" s="5">
        <v>43392</v>
      </c>
      <c r="X907" s="1">
        <v>3450000</v>
      </c>
      <c r="Y907" s="1">
        <v>3450000</v>
      </c>
      <c r="Z907" s="5">
        <v>43392</v>
      </c>
      <c r="AA907" s="1">
        <v>2763200</v>
      </c>
      <c r="AB907" s="1" t="s">
        <v>204</v>
      </c>
      <c r="AC907" s="5">
        <v>43628</v>
      </c>
      <c r="AF907" s="1">
        <v>10024</v>
      </c>
      <c r="AI907" s="1" t="s">
        <v>67</v>
      </c>
      <c r="AJ907" s="1">
        <v>1908</v>
      </c>
      <c r="AK907" s="1" t="s">
        <v>81</v>
      </c>
      <c r="AL907" s="1">
        <v>213</v>
      </c>
    </row>
    <row r="908" spans="1:38" x14ac:dyDescent="0.2">
      <c r="A908" s="2" t="str">
        <f>HYPERLINK("https://www.compass.com/listing/101-west-78th-street-unit-6d-manhattan-ny-10024/29394205780605985/","101 W 78th St, Unit 6D")</f>
        <v>101 W 78th St, Unit 6D</v>
      </c>
      <c r="B908" s="2" t="str">
        <f>HYPERLINK("https://www.compass.com/building/101-w-78th-st-manhattan-ny-10024/281961405798754085/","101 W 78th St")</f>
        <v>101 W 78th St</v>
      </c>
      <c r="C908" s="1" t="s">
        <v>47</v>
      </c>
      <c r="D908" s="1" t="s">
        <v>41</v>
      </c>
      <c r="E908" s="3">
        <v>681000</v>
      </c>
      <c r="F908" s="1">
        <v>1031.8181818181799</v>
      </c>
      <c r="G908" s="1">
        <v>3</v>
      </c>
      <c r="H908" s="1">
        <v>1</v>
      </c>
      <c r="I908" s="1">
        <v>1</v>
      </c>
      <c r="J908" s="1">
        <v>1</v>
      </c>
      <c r="M908" s="1">
        <v>660</v>
      </c>
      <c r="N908" s="1">
        <v>952</v>
      </c>
      <c r="O908" s="1">
        <v>1567</v>
      </c>
      <c r="P908" s="1">
        <v>615</v>
      </c>
      <c r="Q908" s="1" t="s">
        <v>42</v>
      </c>
      <c r="S908" s="1" t="s">
        <v>42</v>
      </c>
      <c r="T908" s="1" t="s">
        <v>203</v>
      </c>
      <c r="V908" s="5">
        <v>43208</v>
      </c>
      <c r="AA908" s="1">
        <v>681000</v>
      </c>
      <c r="AB908" s="1" t="s">
        <v>700</v>
      </c>
      <c r="AC908" s="5">
        <v>43138</v>
      </c>
      <c r="AF908" s="1">
        <v>10024</v>
      </c>
      <c r="AJ908" s="1">
        <v>1886</v>
      </c>
      <c r="AK908" s="1" t="s">
        <v>428</v>
      </c>
      <c r="AL908" s="1">
        <v>21</v>
      </c>
    </row>
    <row r="909" spans="1:38" x14ac:dyDescent="0.2">
      <c r="A909" s="2" t="str">
        <f>HYPERLINK("https://www.compass.com/listing/150-east-23rd-street-unit-6a-manhattan-ny-10010/196402795883117233/","150 E 23rd St, Unit 6A")</f>
        <v>150 E 23rd St, Unit 6A</v>
      </c>
      <c r="B909" s="2" t="str">
        <f>HYPERLINK("https://www.compass.com/building/celeste-gramercy-manhattan-ny/292795972759607813/","Celeste Gramercy")</f>
        <v>Celeste Gramercy</v>
      </c>
      <c r="C909" s="1" t="s">
        <v>101</v>
      </c>
      <c r="D909" s="1" t="s">
        <v>41</v>
      </c>
      <c r="E909" s="3">
        <v>1321689</v>
      </c>
      <c r="F909" s="1">
        <v>1882.7471509971499</v>
      </c>
      <c r="G909" s="1">
        <v>3</v>
      </c>
      <c r="H909" s="1">
        <v>1</v>
      </c>
      <c r="I909" s="1">
        <v>1</v>
      </c>
      <c r="J909" s="1">
        <v>1</v>
      </c>
      <c r="K909" s="1">
        <v>1</v>
      </c>
      <c r="M909" s="1">
        <v>702</v>
      </c>
      <c r="N909" s="1">
        <v>920</v>
      </c>
      <c r="O909" s="1">
        <v>1782</v>
      </c>
      <c r="P909" s="1">
        <v>862</v>
      </c>
      <c r="Q909" s="1" t="s">
        <v>42</v>
      </c>
      <c r="S909" s="1" t="s">
        <v>42</v>
      </c>
      <c r="T909" s="1" t="s">
        <v>203</v>
      </c>
      <c r="U909" s="1">
        <v>21</v>
      </c>
      <c r="V909" s="5">
        <v>44352</v>
      </c>
      <c r="W909" s="5">
        <v>44285</v>
      </c>
      <c r="X909" s="1">
        <v>1333000</v>
      </c>
      <c r="Y909" s="1">
        <v>1333000</v>
      </c>
      <c r="Z909" s="5">
        <v>44307</v>
      </c>
      <c r="AA909" s="1">
        <v>1321688.5</v>
      </c>
      <c r="AB909" s="1" t="s">
        <v>701</v>
      </c>
      <c r="AC909" s="5">
        <v>44350</v>
      </c>
      <c r="AF909" s="1">
        <v>10010</v>
      </c>
      <c r="AI909" s="1" t="s">
        <v>45</v>
      </c>
      <c r="AJ909" s="1">
        <v>2018</v>
      </c>
      <c r="AK909" s="1" t="s">
        <v>50</v>
      </c>
      <c r="AL909" s="1">
        <v>51</v>
      </c>
    </row>
    <row r="910" spans="1:38" x14ac:dyDescent="0.2">
      <c r="A910" s="2" t="str">
        <f>HYPERLINK("https://www.compass.com/listing/275-west-10th-street-unit-3b-manhattan-ny-10014/29512044281622721/","275 W 10th St, Unit 3B")</f>
        <v>275 W 10th St, Unit 3B</v>
      </c>
      <c r="B910" s="2" t="str">
        <f>HYPERLINK("https://www.compass.com/building/the-shephard-manhattan-ny/281931968864632917/","The Shephard")</f>
        <v>The Shephard</v>
      </c>
      <c r="C910" s="1" t="s">
        <v>68</v>
      </c>
      <c r="D910" s="1" t="s">
        <v>41</v>
      </c>
      <c r="E910" s="3">
        <v>7229575</v>
      </c>
      <c r="F910" s="1">
        <v>2505.9185441940999</v>
      </c>
      <c r="G910" s="1">
        <v>6</v>
      </c>
      <c r="H910" s="1">
        <v>3</v>
      </c>
      <c r="I910" s="1">
        <v>4</v>
      </c>
      <c r="J910" s="1">
        <v>3.5</v>
      </c>
      <c r="M910" s="4">
        <v>2885</v>
      </c>
      <c r="N910" s="1">
        <v>2651</v>
      </c>
      <c r="O910" s="1">
        <v>5993</v>
      </c>
      <c r="P910" s="1">
        <v>3342</v>
      </c>
      <c r="Q910" s="1" t="s">
        <v>42</v>
      </c>
      <c r="S910" s="1" t="s">
        <v>42</v>
      </c>
      <c r="T910" s="1" t="s">
        <v>203</v>
      </c>
      <c r="U910" s="1">
        <v>112</v>
      </c>
      <c r="V910" s="5">
        <v>43637</v>
      </c>
      <c r="W910" s="5">
        <v>43162</v>
      </c>
      <c r="X910" s="1">
        <v>8150000</v>
      </c>
      <c r="Y910" s="1">
        <v>7500000</v>
      </c>
      <c r="Z910" s="5">
        <v>43274</v>
      </c>
      <c r="AA910" s="1">
        <v>7229575</v>
      </c>
      <c r="AB910" s="1" t="s">
        <v>702</v>
      </c>
      <c r="AC910" s="5">
        <v>43307</v>
      </c>
      <c r="AF910" s="1">
        <v>10014</v>
      </c>
      <c r="AI910" s="1" t="s">
        <v>67</v>
      </c>
      <c r="AJ910" s="1">
        <v>2015</v>
      </c>
      <c r="AK910" s="1" t="s">
        <v>50</v>
      </c>
      <c r="AL910" s="1">
        <v>38</v>
      </c>
    </row>
    <row r="911" spans="1:38" x14ac:dyDescent="0.2">
      <c r="A911" s="2" t="str">
        <f>HYPERLINK("https://www.compass.com/listing/101-west-78th-street-unit-7d-manhattan-ny-10024/29394206669755201/","101 W 78th St, Unit 7D")</f>
        <v>101 W 78th St, Unit 7D</v>
      </c>
      <c r="B911" s="2" t="str">
        <f>HYPERLINK("https://www.compass.com/building/101-w-78th-st-manhattan-ny-10024/281961405798754085/","101 W 78th St")</f>
        <v>101 W 78th St</v>
      </c>
      <c r="C911" s="1" t="s">
        <v>47</v>
      </c>
      <c r="D911" s="1" t="s">
        <v>41</v>
      </c>
      <c r="E911" s="3">
        <v>629474</v>
      </c>
      <c r="F911" s="1">
        <v>1023.53455284552</v>
      </c>
      <c r="G911" s="1">
        <v>3</v>
      </c>
      <c r="H911" s="1">
        <v>1</v>
      </c>
      <c r="I911" s="1">
        <v>1</v>
      </c>
      <c r="J911" s="1">
        <v>1</v>
      </c>
      <c r="M911" s="1">
        <v>615</v>
      </c>
      <c r="N911" s="1">
        <v>887</v>
      </c>
      <c r="O911" s="1">
        <v>1460</v>
      </c>
      <c r="P911" s="1">
        <v>573</v>
      </c>
      <c r="Q911" s="1" t="s">
        <v>42</v>
      </c>
      <c r="S911" s="1" t="s">
        <v>42</v>
      </c>
      <c r="T911" s="1" t="s">
        <v>203</v>
      </c>
      <c r="V911" s="5">
        <v>43208</v>
      </c>
      <c r="AA911" s="1">
        <v>629473.75</v>
      </c>
      <c r="AB911" s="1" t="s">
        <v>703</v>
      </c>
      <c r="AC911" s="5">
        <v>43139</v>
      </c>
      <c r="AF911" s="1">
        <v>10024</v>
      </c>
      <c r="AJ911" s="1">
        <v>1886</v>
      </c>
      <c r="AK911" s="1" t="s">
        <v>428</v>
      </c>
      <c r="AL911" s="1">
        <v>21</v>
      </c>
    </row>
    <row r="912" spans="1:38" x14ac:dyDescent="0.2">
      <c r="A912" s="2" t="str">
        <f>HYPERLINK("https://www.compass.com/listing/200-east-21st-street-unit-4e-manhattan-ny-10010/602588809664252841/","200 E 21st St, Unit 4E")</f>
        <v>200 E 21st St, Unit 4E</v>
      </c>
      <c r="B912" s="2" t="str">
        <f>HYPERLINK("https://www.compass.com/building/200-east-21st-street-manhattan-ny/292796762689658005/","200 East 21st Street")</f>
        <v>200 East 21st Street</v>
      </c>
      <c r="C912" s="1" t="s">
        <v>101</v>
      </c>
      <c r="D912" s="1" t="s">
        <v>41</v>
      </c>
      <c r="E912" s="3">
        <v>1600000</v>
      </c>
      <c r="F912" s="1">
        <v>1553.39805825242</v>
      </c>
      <c r="G912" s="1">
        <v>3</v>
      </c>
      <c r="H912" s="1">
        <v>1</v>
      </c>
      <c r="I912" s="1">
        <v>2</v>
      </c>
      <c r="J912" s="1">
        <v>1.5</v>
      </c>
      <c r="K912" s="1">
        <v>1</v>
      </c>
      <c r="L912" s="1">
        <v>1</v>
      </c>
      <c r="M912" s="4">
        <v>1030</v>
      </c>
      <c r="N912" s="1">
        <v>979</v>
      </c>
      <c r="O912" s="1">
        <v>2172</v>
      </c>
      <c r="P912" s="1">
        <v>1193</v>
      </c>
      <c r="Q912" s="1" t="s">
        <v>335</v>
      </c>
      <c r="S912" s="1" t="s">
        <v>336</v>
      </c>
      <c r="T912" s="1" t="s">
        <v>203</v>
      </c>
      <c r="U912" s="1">
        <v>64</v>
      </c>
      <c r="V912" s="5">
        <v>44180</v>
      </c>
      <c r="W912" s="5">
        <v>44082</v>
      </c>
      <c r="X912" s="1">
        <v>1775000</v>
      </c>
      <c r="Y912" s="1">
        <v>1775000</v>
      </c>
      <c r="Z912" s="5">
        <v>44147</v>
      </c>
      <c r="AA912" s="1">
        <v>1600000</v>
      </c>
      <c r="AB912" s="1" t="s">
        <v>704</v>
      </c>
      <c r="AC912" s="5">
        <v>44172</v>
      </c>
      <c r="AF912" s="1">
        <v>10010</v>
      </c>
      <c r="AI912" s="1" t="s">
        <v>102</v>
      </c>
      <c r="AJ912" s="1">
        <v>2018</v>
      </c>
      <c r="AK912" s="1" t="s">
        <v>87</v>
      </c>
      <c r="AL912" s="1">
        <v>67</v>
      </c>
    </row>
    <row r="913" spans="1:38" x14ac:dyDescent="0.2">
      <c r="A913" s="2" t="str">
        <f>HYPERLINK("https://www.compass.com/listing/275-west-10th-street-unit-10b-manhattan-ny-10014/29368600225661345/","275 W 10th St, Unit 10B")</f>
        <v>275 W 10th St, Unit 10B</v>
      </c>
      <c r="B913" s="2" t="str">
        <f>HYPERLINK("https://www.compass.com/building/the-shephard-manhattan-ny/281931968864632917/","The Shephard")</f>
        <v>The Shephard</v>
      </c>
      <c r="C913" s="1" t="s">
        <v>68</v>
      </c>
      <c r="D913" s="1" t="s">
        <v>41</v>
      </c>
      <c r="E913" s="3">
        <v>12225938</v>
      </c>
      <c r="F913" s="1">
        <v>3339.5077847582602</v>
      </c>
      <c r="G913" s="1">
        <v>7</v>
      </c>
      <c r="H913" s="1">
        <v>4</v>
      </c>
      <c r="I913" s="1">
        <v>5</v>
      </c>
      <c r="J913" s="1">
        <v>4.5</v>
      </c>
      <c r="M913" s="4">
        <v>3661</v>
      </c>
      <c r="N913" s="1">
        <v>3375</v>
      </c>
      <c r="O913" s="1">
        <v>7794</v>
      </c>
      <c r="P913" s="1">
        <v>4419</v>
      </c>
      <c r="Q913" s="1" t="s">
        <v>42</v>
      </c>
      <c r="S913" s="1" t="s">
        <v>42</v>
      </c>
      <c r="T913" s="1" t="s">
        <v>203</v>
      </c>
      <c r="V913" s="5">
        <v>43664</v>
      </c>
      <c r="W913" s="5">
        <v>42297</v>
      </c>
      <c r="X913" s="1">
        <v>12150000</v>
      </c>
      <c r="Y913" s="1">
        <v>12150000</v>
      </c>
      <c r="Z913" s="5">
        <v>42297</v>
      </c>
      <c r="AA913" s="1">
        <v>12225938</v>
      </c>
      <c r="AB913" s="1" t="s">
        <v>699</v>
      </c>
      <c r="AC913" s="5">
        <v>42794</v>
      </c>
      <c r="AF913" s="1">
        <v>10014</v>
      </c>
      <c r="AI913" s="1" t="s">
        <v>67</v>
      </c>
      <c r="AJ913" s="1">
        <v>2015</v>
      </c>
      <c r="AK913" s="1" t="s">
        <v>87</v>
      </c>
      <c r="AL913" s="1">
        <v>38</v>
      </c>
    </row>
    <row r="914" spans="1:38" x14ac:dyDescent="0.2">
      <c r="A914" s="2" t="str">
        <f>HYPERLINK("https://www.compass.com/listing/421-west-22nd-street-unit-5r-manhattan-ny-10011/613688524266912945/","421 W 22nd St, Unit 5R")</f>
        <v>421 W 22nd St, Unit 5R</v>
      </c>
      <c r="B914" s="2" t="str">
        <f>HYPERLINK("https://www.compass.com/building/421-w-22nd-st-manhattan-ny-10011/281910201349594997/","421 W 22nd St")</f>
        <v>421 W 22nd St</v>
      </c>
      <c r="C914" s="1" t="s">
        <v>62</v>
      </c>
      <c r="D914" s="1" t="s">
        <v>41</v>
      </c>
      <c r="E914" s="3">
        <v>536175</v>
      </c>
      <c r="F914" s="1">
        <v>1218.57954545454</v>
      </c>
      <c r="G914" s="1">
        <v>2</v>
      </c>
      <c r="H914" s="1" t="s">
        <v>77</v>
      </c>
      <c r="I914" s="1">
        <v>1</v>
      </c>
      <c r="J914" s="1">
        <v>1</v>
      </c>
      <c r="K914" s="1">
        <v>1</v>
      </c>
      <c r="M914" s="1">
        <v>440</v>
      </c>
      <c r="N914" s="1">
        <v>299</v>
      </c>
      <c r="O914" s="1">
        <v>765</v>
      </c>
      <c r="P914" s="1">
        <v>466</v>
      </c>
      <c r="Q914" s="1" t="s">
        <v>42</v>
      </c>
      <c r="S914" s="1" t="s">
        <v>42</v>
      </c>
      <c r="T914" s="1" t="s">
        <v>203</v>
      </c>
      <c r="U914" s="1">
        <v>131</v>
      </c>
      <c r="V914" s="5">
        <v>44376</v>
      </c>
      <c r="W914" s="5">
        <v>44099</v>
      </c>
      <c r="X914" s="1">
        <v>540000</v>
      </c>
      <c r="Y914" s="1">
        <v>540000</v>
      </c>
      <c r="Z914" s="5">
        <v>44230</v>
      </c>
      <c r="AA914" s="1">
        <v>536175</v>
      </c>
      <c r="AB914" s="1" t="s">
        <v>705</v>
      </c>
      <c r="AC914" s="5">
        <v>44301</v>
      </c>
      <c r="AF914" s="1">
        <v>10011</v>
      </c>
      <c r="AI914" s="1" t="s">
        <v>52</v>
      </c>
      <c r="AJ914" s="1">
        <v>1900</v>
      </c>
      <c r="AL914" s="1">
        <v>8</v>
      </c>
    </row>
    <row r="915" spans="1:38" x14ac:dyDescent="0.2">
      <c r="A915" s="2" t="str">
        <f>HYPERLINK("https://www.compass.com/listing/200-east-21st-street-unit-6b-manhattan-ny-10010/803345916970860801/","200 E 21st St, Unit 6B")</f>
        <v>200 E 21st St, Unit 6B</v>
      </c>
      <c r="B915" s="2" t="str">
        <f t="shared" ref="B915:B916" si="157">HYPERLINK("https://www.compass.com/building/200-east-21st-street-manhattan-ny/292796762689658005/","200 East 21st Street")</f>
        <v>200 East 21st Street</v>
      </c>
      <c r="C915" s="1" t="s">
        <v>101</v>
      </c>
      <c r="D915" s="1" t="s">
        <v>41</v>
      </c>
      <c r="E915" s="3">
        <v>1600000</v>
      </c>
      <c r="F915" s="1">
        <v>2072.5388601036202</v>
      </c>
      <c r="G915" s="1">
        <v>3</v>
      </c>
      <c r="H915" s="1">
        <v>1</v>
      </c>
      <c r="I915" s="1">
        <v>1</v>
      </c>
      <c r="J915" s="1">
        <v>1</v>
      </c>
      <c r="K915" s="1">
        <v>1</v>
      </c>
      <c r="M915" s="1">
        <v>772</v>
      </c>
      <c r="N915" s="1">
        <v>755</v>
      </c>
      <c r="O915" s="1">
        <v>2169</v>
      </c>
      <c r="P915" s="1">
        <v>1414</v>
      </c>
      <c r="Q915" s="1" t="s">
        <v>335</v>
      </c>
      <c r="S915" s="1" t="s">
        <v>336</v>
      </c>
      <c r="T915" s="1" t="s">
        <v>203</v>
      </c>
      <c r="V915" s="5">
        <v>43740</v>
      </c>
      <c r="W915" s="5">
        <v>43396</v>
      </c>
      <c r="X915" s="1">
        <v>1565000</v>
      </c>
      <c r="Y915" s="1">
        <v>1565000</v>
      </c>
      <c r="Z915" s="5">
        <v>43397</v>
      </c>
      <c r="AA915" s="1">
        <v>1600000</v>
      </c>
      <c r="AB915" s="1" t="s">
        <v>648</v>
      </c>
      <c r="AC915" s="5">
        <v>43815</v>
      </c>
      <c r="AF915" s="1">
        <v>10010</v>
      </c>
      <c r="AI915" s="1" t="s">
        <v>102</v>
      </c>
      <c r="AJ915" s="1">
        <v>2018</v>
      </c>
      <c r="AK915" s="1" t="s">
        <v>55</v>
      </c>
      <c r="AL915" s="1">
        <v>67</v>
      </c>
    </row>
    <row r="916" spans="1:38" x14ac:dyDescent="0.2">
      <c r="A916" s="2" t="str">
        <f>HYPERLINK("https://www.compass.com/listing/200-east-21st-street-unit-9b-manhattan-ny-10010/803356988524432689/","200 E 21st St, Unit 9B")</f>
        <v>200 E 21st St, Unit 9B</v>
      </c>
      <c r="B916" s="2" t="str">
        <f t="shared" si="157"/>
        <v>200 East 21st Street</v>
      </c>
      <c r="C916" s="1" t="s">
        <v>101</v>
      </c>
      <c r="D916" s="1" t="s">
        <v>41</v>
      </c>
      <c r="E916" s="3">
        <v>1670250</v>
      </c>
      <c r="F916" s="1">
        <v>2160.7373868046502</v>
      </c>
      <c r="G916" s="1">
        <v>3</v>
      </c>
      <c r="H916" s="1">
        <v>1</v>
      </c>
      <c r="I916" s="1">
        <v>1</v>
      </c>
      <c r="J916" s="1">
        <v>1</v>
      </c>
      <c r="K916" s="1">
        <v>1</v>
      </c>
      <c r="M916" s="1">
        <v>773</v>
      </c>
      <c r="N916" s="1">
        <v>764</v>
      </c>
      <c r="O916" s="1">
        <v>2195</v>
      </c>
      <c r="P916" s="1">
        <v>1431</v>
      </c>
      <c r="Q916" s="1" t="s">
        <v>335</v>
      </c>
      <c r="S916" s="1" t="s">
        <v>336</v>
      </c>
      <c r="T916" s="1" t="s">
        <v>203</v>
      </c>
      <c r="U916" s="1">
        <v>132</v>
      </c>
      <c r="V916" s="5">
        <v>43742</v>
      </c>
      <c r="W916" s="5">
        <v>43245</v>
      </c>
      <c r="X916" s="1">
        <v>1625000</v>
      </c>
      <c r="Y916" s="1">
        <v>1625000</v>
      </c>
      <c r="Z916" s="5">
        <v>43378</v>
      </c>
      <c r="AA916" s="1">
        <v>1670250</v>
      </c>
      <c r="AB916" s="1" t="s">
        <v>687</v>
      </c>
      <c r="AC916" s="5">
        <v>43811</v>
      </c>
      <c r="AF916" s="1">
        <v>10010</v>
      </c>
      <c r="AI916" s="1" t="s">
        <v>102</v>
      </c>
      <c r="AJ916" s="1">
        <v>2018</v>
      </c>
      <c r="AK916" s="1" t="s">
        <v>55</v>
      </c>
      <c r="AL916" s="1">
        <v>67</v>
      </c>
    </row>
    <row r="917" spans="1:38" x14ac:dyDescent="0.2">
      <c r="A917" s="2" t="str">
        <f>HYPERLINK("https://www.compass.com/listing/150-east-23rd-street-unit-7a-manhattan-ny-10010/122395326630979793/","150 E 23rd St, Unit 7A")</f>
        <v>150 E 23rd St, Unit 7A</v>
      </c>
      <c r="B917" s="2" t="str">
        <f t="shared" ref="B917:B920" si="158">HYPERLINK("https://www.compass.com/building/celeste-gramercy-manhattan-ny/292795972759607813/","Celeste Gramercy")</f>
        <v>Celeste Gramercy</v>
      </c>
      <c r="C917" s="1" t="s">
        <v>101</v>
      </c>
      <c r="D917" s="1" t="s">
        <v>41</v>
      </c>
      <c r="E917" s="3">
        <v>1250000</v>
      </c>
      <c r="F917" s="1">
        <v>1780.6267806267799</v>
      </c>
      <c r="G917" s="1">
        <v>3</v>
      </c>
      <c r="H917" s="1">
        <v>1</v>
      </c>
      <c r="I917" s="1">
        <v>1</v>
      </c>
      <c r="J917" s="1">
        <v>1</v>
      </c>
      <c r="K917" s="1">
        <v>1</v>
      </c>
      <c r="M917" s="1">
        <v>702</v>
      </c>
      <c r="N917" s="1">
        <v>926</v>
      </c>
      <c r="O917" s="1">
        <v>1598</v>
      </c>
      <c r="P917" s="1">
        <v>672</v>
      </c>
      <c r="Q917" s="1" t="s">
        <v>42</v>
      </c>
      <c r="S917" s="1" t="s">
        <v>42</v>
      </c>
      <c r="T917" s="1" t="s">
        <v>203</v>
      </c>
      <c r="V917" s="5">
        <v>44328</v>
      </c>
      <c r="W917" s="5">
        <v>43420</v>
      </c>
      <c r="X917" s="1">
        <v>1185000</v>
      </c>
      <c r="Y917" s="1">
        <v>1185000</v>
      </c>
      <c r="Z917" s="5">
        <v>43420</v>
      </c>
      <c r="AA917" s="1">
        <v>1250000</v>
      </c>
      <c r="AB917" s="1" t="s">
        <v>204</v>
      </c>
      <c r="AC917" s="5">
        <v>44327</v>
      </c>
      <c r="AF917" s="1">
        <v>10010</v>
      </c>
      <c r="AI917" s="1" t="s">
        <v>45</v>
      </c>
      <c r="AJ917" s="1">
        <v>2018</v>
      </c>
      <c r="AK917" s="1" t="s">
        <v>81</v>
      </c>
      <c r="AL917" s="1">
        <v>51</v>
      </c>
    </row>
    <row r="918" spans="1:38" x14ac:dyDescent="0.2">
      <c r="A918" s="2" t="str">
        <f>HYPERLINK("https://www.compass.com/listing/150-east-23rd-street-unit-9a-manhattan-ny-10010/195706579587229153/","150 E 23rd St, Unit 9A")</f>
        <v>150 E 23rd St, Unit 9A</v>
      </c>
      <c r="B918" s="2" t="str">
        <f t="shared" si="158"/>
        <v>Celeste Gramercy</v>
      </c>
      <c r="C918" s="1" t="s">
        <v>101</v>
      </c>
      <c r="D918" s="1" t="s">
        <v>41</v>
      </c>
      <c r="E918" s="3">
        <v>1262920</v>
      </c>
      <c r="F918" s="1">
        <v>1799.03125356125</v>
      </c>
      <c r="G918" s="1">
        <v>3</v>
      </c>
      <c r="H918" s="1">
        <v>1</v>
      </c>
      <c r="I918" s="1">
        <v>1</v>
      </c>
      <c r="J918" s="1">
        <v>1</v>
      </c>
      <c r="K918" s="1">
        <v>1</v>
      </c>
      <c r="M918" s="1">
        <v>702</v>
      </c>
      <c r="N918" s="1">
        <v>936</v>
      </c>
      <c r="O918" s="1">
        <v>1615</v>
      </c>
      <c r="P918" s="1">
        <v>679</v>
      </c>
      <c r="Q918" s="1" t="s">
        <v>42</v>
      </c>
      <c r="S918" s="1" t="s">
        <v>42</v>
      </c>
      <c r="T918" s="1" t="s">
        <v>203</v>
      </c>
      <c r="V918" s="5">
        <v>44309</v>
      </c>
      <c r="W918" s="5">
        <v>43521</v>
      </c>
      <c r="X918" s="1">
        <v>1265000</v>
      </c>
      <c r="Y918" s="1">
        <v>1265000</v>
      </c>
      <c r="Z918" s="5">
        <v>43521</v>
      </c>
      <c r="AA918" s="1">
        <v>1262919.94</v>
      </c>
      <c r="AB918" s="1" t="s">
        <v>706</v>
      </c>
      <c r="AC918" s="5">
        <v>44308</v>
      </c>
      <c r="AF918" s="1">
        <v>10010</v>
      </c>
      <c r="AI918" s="1" t="s">
        <v>45</v>
      </c>
      <c r="AJ918" s="1">
        <v>2018</v>
      </c>
      <c r="AK918" s="1" t="s">
        <v>50</v>
      </c>
      <c r="AL918" s="1">
        <v>51</v>
      </c>
    </row>
    <row r="919" spans="1:38" x14ac:dyDescent="0.2">
      <c r="A919" s="2" t="str">
        <f>HYPERLINK("https://www.compass.com/listing/150-east-23rd-street-unit-5a-manhattan-ny-10010/195706580451255809/","150 E 23rd St, Unit 5A")</f>
        <v>150 E 23rd St, Unit 5A</v>
      </c>
      <c r="B919" s="2" t="str">
        <f t="shared" si="158"/>
        <v>Celeste Gramercy</v>
      </c>
      <c r="C919" s="1" t="s">
        <v>101</v>
      </c>
      <c r="D919" s="1" t="s">
        <v>41</v>
      </c>
      <c r="E919" s="3">
        <v>1193000</v>
      </c>
      <c r="F919" s="1">
        <v>1699.43019943019</v>
      </c>
      <c r="G919" s="1">
        <v>3</v>
      </c>
      <c r="H919" s="1">
        <v>1</v>
      </c>
      <c r="I919" s="1">
        <v>1</v>
      </c>
      <c r="J919" s="1">
        <v>1</v>
      </c>
      <c r="K919" s="1">
        <v>1</v>
      </c>
      <c r="M919" s="1">
        <v>702</v>
      </c>
      <c r="N919" s="1">
        <v>917</v>
      </c>
      <c r="O919" s="1">
        <v>1582</v>
      </c>
      <c r="P919" s="1">
        <v>665</v>
      </c>
      <c r="Q919" s="1" t="s">
        <v>42</v>
      </c>
      <c r="S919" s="1" t="s">
        <v>42</v>
      </c>
      <c r="T919" s="1" t="s">
        <v>203</v>
      </c>
      <c r="V919" s="5">
        <v>44364</v>
      </c>
      <c r="W919" s="5">
        <v>43521</v>
      </c>
      <c r="X919" s="1">
        <v>1210000</v>
      </c>
      <c r="Y919" s="1">
        <v>1210000</v>
      </c>
      <c r="Z919" s="5">
        <v>43521</v>
      </c>
      <c r="AA919" s="1">
        <v>1193000</v>
      </c>
      <c r="AB919" s="1" t="s">
        <v>707</v>
      </c>
      <c r="AC919" s="5">
        <v>44348</v>
      </c>
      <c r="AF919" s="1">
        <v>10010</v>
      </c>
      <c r="AI919" s="1" t="s">
        <v>45</v>
      </c>
      <c r="AJ919" s="1">
        <v>2018</v>
      </c>
      <c r="AK919" s="1" t="s">
        <v>50</v>
      </c>
      <c r="AL919" s="1">
        <v>51</v>
      </c>
    </row>
    <row r="920" spans="1:38" x14ac:dyDescent="0.2">
      <c r="A920" s="2" t="str">
        <f>HYPERLINK("https://www.compass.com/listing/150-east-23rd-street-unit-10a-manhattan-ny-10010/196402796487055025/","150 E 23rd St, Unit 10A")</f>
        <v>150 E 23rd St, Unit 10A</v>
      </c>
      <c r="B920" s="2" t="str">
        <f t="shared" si="158"/>
        <v>Celeste Gramercy</v>
      </c>
      <c r="C920" s="1" t="s">
        <v>101</v>
      </c>
      <c r="D920" s="1" t="s">
        <v>41</v>
      </c>
      <c r="E920" s="3">
        <v>1228000</v>
      </c>
      <c r="F920" s="1">
        <v>1749.2877492877401</v>
      </c>
      <c r="G920" s="1">
        <v>3</v>
      </c>
      <c r="H920" s="1">
        <v>1</v>
      </c>
      <c r="I920" s="1">
        <v>1</v>
      </c>
      <c r="J920" s="1">
        <v>1</v>
      </c>
      <c r="K920" s="1">
        <v>1</v>
      </c>
      <c r="M920" s="1">
        <v>702</v>
      </c>
      <c r="N920" s="1">
        <v>940</v>
      </c>
      <c r="O920" s="1">
        <v>1622</v>
      </c>
      <c r="P920" s="1">
        <v>682</v>
      </c>
      <c r="Q920" s="1" t="s">
        <v>42</v>
      </c>
      <c r="S920" s="1" t="s">
        <v>42</v>
      </c>
      <c r="T920" s="1" t="s">
        <v>203</v>
      </c>
      <c r="V920" s="5">
        <v>44290</v>
      </c>
      <c r="W920" s="5">
        <v>43522</v>
      </c>
      <c r="X920" s="1">
        <v>1285000</v>
      </c>
      <c r="Y920" s="1">
        <v>1285000</v>
      </c>
      <c r="Z920" s="5">
        <v>43522</v>
      </c>
      <c r="AA920" s="1">
        <v>1228000</v>
      </c>
      <c r="AB920" s="1" t="s">
        <v>708</v>
      </c>
      <c r="AC920" s="5">
        <v>44281</v>
      </c>
      <c r="AF920" s="1">
        <v>10010</v>
      </c>
      <c r="AI920" s="1" t="s">
        <v>45</v>
      </c>
      <c r="AJ920" s="1">
        <v>2018</v>
      </c>
      <c r="AK920" s="1" t="s">
        <v>50</v>
      </c>
      <c r="AL920" s="1">
        <v>51</v>
      </c>
    </row>
    <row r="921" spans="1:38" x14ac:dyDescent="0.2">
      <c r="A921" s="2" t="str">
        <f>HYPERLINK("https://www.compass.com/listing/360-central-park-west-unit-17e-manhattan-ny-10025/15928658380254577/","360 Central Park W, Unit 17E")</f>
        <v>360 Central Park W, Unit 17E</v>
      </c>
      <c r="B921" s="2" t="str">
        <f t="shared" ref="B921:B928" si="159">HYPERLINK("https://www.compass.com/building/360-central-park-west-manhattan-ny/281971555427243781/","360 Central Park West")</f>
        <v>360 Central Park West</v>
      </c>
      <c r="C921" s="1" t="s">
        <v>47</v>
      </c>
      <c r="D921" s="1" t="s">
        <v>41</v>
      </c>
      <c r="E921" s="3">
        <v>3915171</v>
      </c>
      <c r="F921" s="1">
        <v>2035.97035881435</v>
      </c>
      <c r="G921" s="1">
        <v>5</v>
      </c>
      <c r="H921" s="1">
        <v>3</v>
      </c>
      <c r="I921" s="1">
        <v>3</v>
      </c>
      <c r="J921" s="1">
        <v>2.5</v>
      </c>
      <c r="K921" s="1">
        <v>2</v>
      </c>
      <c r="L921" s="1">
        <v>1</v>
      </c>
      <c r="M921" s="4">
        <v>1923</v>
      </c>
      <c r="N921" s="1">
        <v>2173</v>
      </c>
      <c r="O921" s="1">
        <v>3578</v>
      </c>
      <c r="P921" s="1">
        <v>1405</v>
      </c>
      <c r="Q921" s="1" t="s">
        <v>42</v>
      </c>
      <c r="S921" s="1" t="s">
        <v>42</v>
      </c>
      <c r="T921" s="1" t="s">
        <v>203</v>
      </c>
      <c r="U921" s="1">
        <v>16</v>
      </c>
      <c r="V921" s="5">
        <v>43678</v>
      </c>
      <c r="W921" s="5">
        <v>43153</v>
      </c>
      <c r="X921" s="1">
        <v>3845000</v>
      </c>
      <c r="Y921" s="1">
        <v>3845000</v>
      </c>
      <c r="Z921" s="5">
        <v>43169</v>
      </c>
      <c r="AA921" s="1">
        <v>3915171</v>
      </c>
      <c r="AB921" s="1" t="s">
        <v>709</v>
      </c>
      <c r="AC921" s="5">
        <v>43272</v>
      </c>
      <c r="AF921" s="1">
        <v>10025</v>
      </c>
      <c r="AJ921" s="1">
        <v>1929</v>
      </c>
      <c r="AK921" s="1" t="s">
        <v>428</v>
      </c>
      <c r="AL921" s="1">
        <v>126</v>
      </c>
    </row>
    <row r="922" spans="1:38" x14ac:dyDescent="0.2">
      <c r="A922" s="2" t="str">
        <f>HYPERLINK("https://www.compass.com/listing/360-central-park-west-unit-11e-manhattan-ny-10025/29399277365129073/","360 Central Park W, Unit 11E")</f>
        <v>360 Central Park W, Unit 11E</v>
      </c>
      <c r="B922" s="2" t="str">
        <f t="shared" si="159"/>
        <v>360 Central Park West</v>
      </c>
      <c r="C922" s="1" t="s">
        <v>47</v>
      </c>
      <c r="D922" s="1" t="s">
        <v>41</v>
      </c>
      <c r="E922" s="3">
        <v>3660609</v>
      </c>
      <c r="F922" s="1">
        <v>1903.5928237129399</v>
      </c>
      <c r="G922" s="1">
        <v>5</v>
      </c>
      <c r="H922" s="1">
        <v>3</v>
      </c>
      <c r="I922" s="1">
        <v>3</v>
      </c>
      <c r="J922" s="1">
        <v>2.5</v>
      </c>
      <c r="K922" s="1">
        <v>2</v>
      </c>
      <c r="L922" s="1">
        <v>1</v>
      </c>
      <c r="M922" s="4">
        <v>1923</v>
      </c>
      <c r="N922" s="1">
        <v>2173</v>
      </c>
      <c r="O922" s="1">
        <v>3579</v>
      </c>
      <c r="P922" s="1">
        <v>1406</v>
      </c>
      <c r="Q922" s="1" t="s">
        <v>42</v>
      </c>
      <c r="S922" s="1" t="s">
        <v>42</v>
      </c>
      <c r="T922" s="1" t="s">
        <v>203</v>
      </c>
      <c r="U922" s="1">
        <v>38</v>
      </c>
      <c r="V922" s="5">
        <v>43678</v>
      </c>
      <c r="W922" s="5">
        <v>42182</v>
      </c>
      <c r="X922" s="1">
        <v>3595000</v>
      </c>
      <c r="Y922" s="1">
        <v>3595000</v>
      </c>
      <c r="Z922" s="5">
        <v>42220</v>
      </c>
      <c r="AA922" s="1">
        <v>3660609</v>
      </c>
      <c r="AB922" s="1" t="s">
        <v>710</v>
      </c>
      <c r="AC922" s="5">
        <v>43264</v>
      </c>
      <c r="AF922" s="1">
        <v>10025</v>
      </c>
      <c r="AJ922" s="1">
        <v>1929</v>
      </c>
      <c r="AK922" s="1" t="s">
        <v>428</v>
      </c>
      <c r="AL922" s="1">
        <v>126</v>
      </c>
    </row>
    <row r="923" spans="1:38" x14ac:dyDescent="0.2">
      <c r="A923" s="2" t="str">
        <f>HYPERLINK("https://www.compass.com/listing/360-central-park-west-unit-7e-manhattan-ny-10025/803394464764837009/","360 Central Park W, Unit 7E")</f>
        <v>360 Central Park W, Unit 7E</v>
      </c>
      <c r="B923" s="2" t="str">
        <f t="shared" si="159"/>
        <v>360 Central Park West</v>
      </c>
      <c r="C923" s="1" t="s">
        <v>47</v>
      </c>
      <c r="D923" s="1" t="s">
        <v>41</v>
      </c>
      <c r="E923" s="3">
        <v>3558784</v>
      </c>
      <c r="F923" s="1">
        <v>1850.6415756630199</v>
      </c>
      <c r="G923" s="1">
        <v>5</v>
      </c>
      <c r="H923" s="1">
        <v>3</v>
      </c>
      <c r="I923" s="1">
        <v>3</v>
      </c>
      <c r="J923" s="1">
        <v>2.5</v>
      </c>
      <c r="K923" s="1">
        <v>2</v>
      </c>
      <c r="L923" s="1">
        <v>1</v>
      </c>
      <c r="M923" s="4">
        <v>1923</v>
      </c>
      <c r="N923" s="1">
        <v>1831</v>
      </c>
      <c r="O923" s="1">
        <v>3259</v>
      </c>
      <c r="P923" s="1">
        <v>1428</v>
      </c>
      <c r="Q923" s="1" t="s">
        <v>42</v>
      </c>
      <c r="S923" s="1" t="s">
        <v>42</v>
      </c>
      <c r="T923" s="1" t="s">
        <v>203</v>
      </c>
      <c r="U923" s="1">
        <v>715</v>
      </c>
      <c r="V923" s="5">
        <v>43678</v>
      </c>
      <c r="W923" s="5">
        <v>42452</v>
      </c>
      <c r="X923" s="1">
        <v>3495000</v>
      </c>
      <c r="Y923" s="1">
        <v>3495000</v>
      </c>
      <c r="AA923" s="1">
        <v>3558783.75</v>
      </c>
      <c r="AB923" s="1" t="s">
        <v>711</v>
      </c>
      <c r="AC923" s="5">
        <v>43167</v>
      </c>
      <c r="AF923" s="1">
        <v>10025</v>
      </c>
      <c r="AI923" s="1" t="s">
        <v>348</v>
      </c>
      <c r="AJ923" s="1">
        <v>1929</v>
      </c>
      <c r="AK923" s="1" t="s">
        <v>87</v>
      </c>
      <c r="AL923" s="1">
        <v>126</v>
      </c>
    </row>
    <row r="924" spans="1:38" x14ac:dyDescent="0.2">
      <c r="A924" s="2" t="str">
        <f>HYPERLINK("https://www.compass.com/listing/360-central-park-west-unit-11e-manhattan-ny-10025/803430886774757281/","360 Central Park W, Unit 11E")</f>
        <v>360 Central Park W, Unit 11E</v>
      </c>
      <c r="B924" s="2" t="str">
        <f t="shared" si="159"/>
        <v>360 Central Park West</v>
      </c>
      <c r="C924" s="1" t="s">
        <v>47</v>
      </c>
      <c r="D924" s="1" t="s">
        <v>41</v>
      </c>
      <c r="E924" s="3">
        <v>3660609</v>
      </c>
      <c r="F924" s="1">
        <v>1903.59269370774</v>
      </c>
      <c r="G924" s="1">
        <v>5</v>
      </c>
      <c r="H924" s="1">
        <v>3</v>
      </c>
      <c r="I924" s="1">
        <v>3</v>
      </c>
      <c r="J924" s="1">
        <v>2.5</v>
      </c>
      <c r="M924" s="4">
        <v>1923</v>
      </c>
      <c r="N924" s="1">
        <v>2173</v>
      </c>
      <c r="O924" s="1">
        <v>3579</v>
      </c>
      <c r="P924" s="1">
        <v>1406</v>
      </c>
      <c r="Q924" s="1" t="s">
        <v>42</v>
      </c>
      <c r="S924" s="1" t="s">
        <v>42</v>
      </c>
      <c r="T924" s="1" t="s">
        <v>203</v>
      </c>
      <c r="U924" s="1">
        <v>38</v>
      </c>
      <c r="V924" s="5">
        <v>43173</v>
      </c>
      <c r="W924" s="5">
        <v>42181</v>
      </c>
      <c r="X924" s="1">
        <v>3595000</v>
      </c>
      <c r="Y924" s="1">
        <v>3595000</v>
      </c>
      <c r="Z924" s="5">
        <v>42220</v>
      </c>
      <c r="AA924" s="1">
        <v>3660608.75</v>
      </c>
      <c r="AB924" s="1" t="s">
        <v>710</v>
      </c>
      <c r="AC924" s="5">
        <v>43263</v>
      </c>
      <c r="AF924" s="1">
        <v>10025</v>
      </c>
      <c r="AJ924" s="1">
        <v>1929</v>
      </c>
      <c r="AK924" s="1" t="s">
        <v>428</v>
      </c>
      <c r="AL924" s="1">
        <v>126</v>
      </c>
    </row>
    <row r="925" spans="1:38" x14ac:dyDescent="0.2">
      <c r="A925" s="2" t="str">
        <f>HYPERLINK("https://www.compass.com/listing/360-central-park-west-unit-6a-manhattan-ny-10025/29399272759837713/","360 Central Park W, Unit 6A")</f>
        <v>360 Central Park W, Unit 6A</v>
      </c>
      <c r="B925" s="2" t="str">
        <f t="shared" si="159"/>
        <v>360 Central Park West</v>
      </c>
      <c r="C925" s="1" t="s">
        <v>47</v>
      </c>
      <c r="D925" s="1" t="s">
        <v>41</v>
      </c>
      <c r="E925" s="3">
        <v>4271559</v>
      </c>
      <c r="F925" s="1">
        <v>2223.61218115564</v>
      </c>
      <c r="G925" s="1">
        <v>5</v>
      </c>
      <c r="H925" s="1">
        <v>3</v>
      </c>
      <c r="I925" s="1">
        <v>3</v>
      </c>
      <c r="J925" s="1">
        <v>2.5</v>
      </c>
      <c r="K925" s="1">
        <v>2</v>
      </c>
      <c r="L925" s="1">
        <v>1</v>
      </c>
      <c r="M925" s="4">
        <v>1921</v>
      </c>
      <c r="N925" s="1">
        <v>2171</v>
      </c>
      <c r="O925" s="1">
        <v>3575</v>
      </c>
      <c r="P925" s="1">
        <v>1404</v>
      </c>
      <c r="Q925" s="1" t="s">
        <v>42</v>
      </c>
      <c r="S925" s="1" t="s">
        <v>42</v>
      </c>
      <c r="T925" s="1" t="s">
        <v>203</v>
      </c>
      <c r="V925" s="5">
        <v>43678</v>
      </c>
      <c r="W925" s="5">
        <v>42762</v>
      </c>
      <c r="X925" s="1">
        <v>4195000</v>
      </c>
      <c r="Y925" s="1">
        <v>4195000</v>
      </c>
      <c r="Z925" s="5">
        <v>42762</v>
      </c>
      <c r="AA925" s="1">
        <v>4271559</v>
      </c>
      <c r="AB925" s="1" t="s">
        <v>712</v>
      </c>
      <c r="AC925" s="5">
        <v>43187</v>
      </c>
      <c r="AF925" s="1">
        <v>10025</v>
      </c>
      <c r="AJ925" s="1">
        <v>1929</v>
      </c>
      <c r="AK925" s="1" t="s">
        <v>428</v>
      </c>
      <c r="AL925" s="1">
        <v>126</v>
      </c>
    </row>
    <row r="926" spans="1:38" x14ac:dyDescent="0.2">
      <c r="A926" s="2" t="str">
        <f>HYPERLINK("https://www.compass.com/listing/360-central-park-west-unit-7a-manhattan-ny-10025/29508828408079969/","360 Central Park W, Unit 7A")</f>
        <v>360 Central Park W, Unit 7A</v>
      </c>
      <c r="B926" s="2" t="str">
        <f t="shared" si="159"/>
        <v>360 Central Park West</v>
      </c>
      <c r="C926" s="1" t="s">
        <v>47</v>
      </c>
      <c r="D926" s="1" t="s">
        <v>41</v>
      </c>
      <c r="E926" s="3">
        <v>4322471</v>
      </c>
      <c r="F926" s="1">
        <v>2250.1150442477801</v>
      </c>
      <c r="G926" s="1">
        <v>5</v>
      </c>
      <c r="H926" s="1">
        <v>3</v>
      </c>
      <c r="I926" s="1">
        <v>3</v>
      </c>
      <c r="J926" s="1">
        <v>2.5</v>
      </c>
      <c r="K926" s="1">
        <v>2</v>
      </c>
      <c r="L926" s="1">
        <v>1</v>
      </c>
      <c r="M926" s="4">
        <v>1921</v>
      </c>
      <c r="N926" s="1">
        <v>2171</v>
      </c>
      <c r="O926" s="1">
        <v>3575</v>
      </c>
      <c r="P926" s="1">
        <v>1404</v>
      </c>
      <c r="Q926" s="1" t="s">
        <v>42</v>
      </c>
      <c r="S926" s="1" t="s">
        <v>42</v>
      </c>
      <c r="T926" s="1" t="s">
        <v>203</v>
      </c>
      <c r="U926" s="1">
        <v>27</v>
      </c>
      <c r="V926" s="5">
        <v>43678</v>
      </c>
      <c r="W926" s="5">
        <v>43209</v>
      </c>
      <c r="X926" s="1">
        <v>4245000</v>
      </c>
      <c r="Y926" s="1">
        <v>4245000</v>
      </c>
      <c r="Z926" s="5">
        <v>43236</v>
      </c>
      <c r="AA926" s="1">
        <v>4322471</v>
      </c>
      <c r="AB926" s="1" t="s">
        <v>713</v>
      </c>
      <c r="AC926" s="5">
        <v>43357</v>
      </c>
      <c r="AF926" s="1">
        <v>10025</v>
      </c>
      <c r="AJ926" s="1">
        <v>1929</v>
      </c>
      <c r="AK926" s="1" t="s">
        <v>428</v>
      </c>
      <c r="AL926" s="1">
        <v>126</v>
      </c>
    </row>
    <row r="927" spans="1:38" x14ac:dyDescent="0.2">
      <c r="A927" s="2" t="str">
        <f>HYPERLINK("https://www.compass.com/listing/360-central-park-west-unit-11a-manhattan-ny-10025/70929804865612113/","360 Central Park W, Unit 11A")</f>
        <v>360 Central Park W, Unit 11A</v>
      </c>
      <c r="B927" s="2" t="str">
        <f t="shared" si="159"/>
        <v>360 Central Park West</v>
      </c>
      <c r="C927" s="1" t="s">
        <v>47</v>
      </c>
      <c r="D927" s="1" t="s">
        <v>41</v>
      </c>
      <c r="E927" s="3">
        <v>4602490</v>
      </c>
      <c r="F927" s="1">
        <v>2395.8823529411702</v>
      </c>
      <c r="G927" s="1">
        <v>5</v>
      </c>
      <c r="H927" s="1">
        <v>3</v>
      </c>
      <c r="I927" s="1">
        <v>3</v>
      </c>
      <c r="J927" s="1">
        <v>2.5</v>
      </c>
      <c r="M927" s="4">
        <v>1921</v>
      </c>
      <c r="N927" s="1">
        <v>2171</v>
      </c>
      <c r="O927" s="1">
        <v>2311</v>
      </c>
      <c r="P927" s="1">
        <v>140</v>
      </c>
      <c r="Q927" s="1" t="s">
        <v>42</v>
      </c>
      <c r="S927" s="1" t="s">
        <v>42</v>
      </c>
      <c r="T927" s="1" t="s">
        <v>203</v>
      </c>
      <c r="V927" s="5">
        <v>43173</v>
      </c>
      <c r="Y927" s="1">
        <v>4520000</v>
      </c>
      <c r="Z927" s="5">
        <v>42790</v>
      </c>
      <c r="AA927" s="1">
        <v>4602490</v>
      </c>
      <c r="AB927" s="1" t="s">
        <v>714</v>
      </c>
      <c r="AC927" s="5">
        <v>43221</v>
      </c>
      <c r="AF927" s="1">
        <v>10025</v>
      </c>
      <c r="AJ927" s="1">
        <v>1929</v>
      </c>
      <c r="AK927" s="1" t="s">
        <v>428</v>
      </c>
      <c r="AL927" s="1">
        <v>126</v>
      </c>
    </row>
    <row r="928" spans="1:38" x14ac:dyDescent="0.2">
      <c r="A928" s="2" t="str">
        <f>HYPERLINK("https://www.compass.com/listing/360-central-park-west-unit-11a-manhattan-ny-10025/784783648979378569/","360 Central Park W, Unit 11A")</f>
        <v>360 Central Park W, Unit 11A</v>
      </c>
      <c r="B928" s="2" t="str">
        <f t="shared" si="159"/>
        <v>360 Central Park West</v>
      </c>
      <c r="C928" s="1" t="s">
        <v>47</v>
      </c>
      <c r="D928" s="1" t="s">
        <v>41</v>
      </c>
      <c r="E928" s="3">
        <v>4602490</v>
      </c>
      <c r="F928" s="1">
        <v>2395.8823529411702</v>
      </c>
      <c r="G928" s="1">
        <v>5</v>
      </c>
      <c r="H928" s="1">
        <v>3</v>
      </c>
      <c r="I928" s="1">
        <v>3</v>
      </c>
      <c r="J928" s="1">
        <v>2.5</v>
      </c>
      <c r="K928" s="1">
        <v>2</v>
      </c>
      <c r="L928" s="1">
        <v>1</v>
      </c>
      <c r="M928" s="4">
        <v>1921</v>
      </c>
      <c r="N928" s="1">
        <v>2171</v>
      </c>
      <c r="O928" s="1">
        <v>2311</v>
      </c>
      <c r="P928" s="1">
        <v>140</v>
      </c>
      <c r="Q928" s="1" t="s">
        <v>42</v>
      </c>
      <c r="S928" s="1" t="s">
        <v>42</v>
      </c>
      <c r="T928" s="1" t="s">
        <v>203</v>
      </c>
      <c r="V928" s="5">
        <v>43678</v>
      </c>
      <c r="Y928" s="1">
        <v>4520000</v>
      </c>
      <c r="Z928" s="5">
        <v>43173</v>
      </c>
      <c r="AA928" s="1">
        <v>4602490</v>
      </c>
      <c r="AB928" s="1" t="s">
        <v>714</v>
      </c>
      <c r="AC928" s="5">
        <v>43221</v>
      </c>
      <c r="AF928" s="1">
        <v>10025</v>
      </c>
      <c r="AJ928" s="1">
        <v>1929</v>
      </c>
      <c r="AK928" s="1" t="s">
        <v>428</v>
      </c>
      <c r="AL928" s="1">
        <v>126</v>
      </c>
    </row>
    <row r="929" spans="1:38" x14ac:dyDescent="0.2">
      <c r="A929" s="2" t="str">
        <f>HYPERLINK("https://www.compass.com/listing/200-east-21st-street-unit-3b-manhattan-ny-10010/444031762143224473/","200 E 21st St, Unit 3B")</f>
        <v>200 E 21st St, Unit 3B</v>
      </c>
      <c r="B929" s="2" t="str">
        <f t="shared" ref="B929:B931" si="160">HYPERLINK("https://www.compass.com/building/200-east-21st-street-manhattan-ny/292796762689658005/","200 East 21st Street")</f>
        <v>200 East 21st Street</v>
      </c>
      <c r="C929" s="1" t="s">
        <v>101</v>
      </c>
      <c r="D929" s="1" t="s">
        <v>41</v>
      </c>
      <c r="E929" s="3">
        <v>1485255</v>
      </c>
      <c r="F929" s="1">
        <v>1923.9048704663201</v>
      </c>
      <c r="G929" s="1">
        <v>3</v>
      </c>
      <c r="H929" s="1">
        <v>1</v>
      </c>
      <c r="I929" s="1">
        <v>1</v>
      </c>
      <c r="J929" s="1">
        <v>1</v>
      </c>
      <c r="K929" s="1">
        <v>1</v>
      </c>
      <c r="M929" s="1">
        <v>772</v>
      </c>
      <c r="N929" s="1">
        <v>744</v>
      </c>
      <c r="O929" s="1">
        <v>1320</v>
      </c>
      <c r="P929" s="1">
        <v>576</v>
      </c>
      <c r="Q929" s="1" t="s">
        <v>335</v>
      </c>
      <c r="S929" s="1" t="s">
        <v>336</v>
      </c>
      <c r="T929" s="1" t="s">
        <v>203</v>
      </c>
      <c r="U929" s="1">
        <v>29</v>
      </c>
      <c r="V929" s="5">
        <v>43965</v>
      </c>
      <c r="W929" s="5">
        <v>43864</v>
      </c>
      <c r="X929" s="1">
        <v>1525000</v>
      </c>
      <c r="Y929" s="1">
        <v>1525000</v>
      </c>
      <c r="Z929" s="5">
        <v>43894</v>
      </c>
      <c r="AA929" s="1">
        <v>1485254.56</v>
      </c>
      <c r="AB929" s="1" t="s">
        <v>715</v>
      </c>
      <c r="AC929" s="5">
        <v>43963</v>
      </c>
      <c r="AF929" s="1">
        <v>10010</v>
      </c>
      <c r="AI929" s="1" t="s">
        <v>115</v>
      </c>
      <c r="AJ929" s="1">
        <v>2018</v>
      </c>
      <c r="AK929" s="1" t="s">
        <v>55</v>
      </c>
      <c r="AL929" s="1">
        <v>67</v>
      </c>
    </row>
    <row r="930" spans="1:38" x14ac:dyDescent="0.2">
      <c r="A930" s="2" t="str">
        <f>HYPERLINK("https://www.compass.com/listing/200-east-21st-street-unit-2a-manhattan-ny-10010/465146621594833329/","200 E 21st St, Unit 2A")</f>
        <v>200 E 21st St, Unit 2A</v>
      </c>
      <c r="B930" s="2" t="str">
        <f t="shared" si="160"/>
        <v>200 East 21st Street</v>
      </c>
      <c r="C930" s="1" t="s">
        <v>101</v>
      </c>
      <c r="D930" s="1" t="s">
        <v>41</v>
      </c>
      <c r="E930" s="3">
        <v>1630255</v>
      </c>
      <c r="F930" s="1">
        <v>1891.2465893271401</v>
      </c>
      <c r="G930" s="1">
        <v>3</v>
      </c>
      <c r="H930" s="1">
        <v>1</v>
      </c>
      <c r="I930" s="1">
        <v>1</v>
      </c>
      <c r="J930" s="1">
        <v>1</v>
      </c>
      <c r="K930" s="1">
        <v>1</v>
      </c>
      <c r="M930" s="1">
        <v>862</v>
      </c>
      <c r="Q930" s="1" t="s">
        <v>335</v>
      </c>
      <c r="S930" s="1" t="s">
        <v>336</v>
      </c>
      <c r="T930" s="1" t="s">
        <v>203</v>
      </c>
      <c r="U930" s="1">
        <v>328</v>
      </c>
      <c r="V930" s="5">
        <v>43968</v>
      </c>
      <c r="W930" s="5">
        <v>43565</v>
      </c>
      <c r="X930" s="1">
        <v>1695000</v>
      </c>
      <c r="Y930" s="1">
        <v>1695000</v>
      </c>
      <c r="Z930" s="5">
        <v>43894</v>
      </c>
      <c r="AA930" s="1">
        <v>1630254.56</v>
      </c>
      <c r="AB930" s="1" t="s">
        <v>716</v>
      </c>
      <c r="AC930" s="5">
        <v>43966</v>
      </c>
      <c r="AF930" s="1">
        <v>10010</v>
      </c>
      <c r="AI930" s="1" t="s">
        <v>102</v>
      </c>
      <c r="AJ930" s="1">
        <v>2018</v>
      </c>
      <c r="AK930" s="1" t="s">
        <v>55</v>
      </c>
      <c r="AL930" s="1">
        <v>67</v>
      </c>
    </row>
    <row r="931" spans="1:38" x14ac:dyDescent="0.2">
      <c r="A931" s="2" t="str">
        <f>HYPERLINK("https://www.compass.com/listing/200-east-21st-street-unit-4b-manhattan-ny-10010/803343082225513729/","200 E 21st St, Unit 4B")</f>
        <v>200 E 21st St, Unit 4B</v>
      </c>
      <c r="B931" s="2" t="str">
        <f t="shared" si="160"/>
        <v>200 East 21st Street</v>
      </c>
      <c r="C931" s="1" t="s">
        <v>101</v>
      </c>
      <c r="D931" s="1" t="s">
        <v>41</v>
      </c>
      <c r="E931" s="3">
        <v>1554053</v>
      </c>
      <c r="F931" s="1">
        <v>2013.0213730569899</v>
      </c>
      <c r="G931" s="1">
        <v>3</v>
      </c>
      <c r="H931" s="1">
        <v>1</v>
      </c>
      <c r="I931" s="1">
        <v>1</v>
      </c>
      <c r="J931" s="1">
        <v>1</v>
      </c>
      <c r="K931" s="1">
        <v>1</v>
      </c>
      <c r="M931" s="1">
        <v>772</v>
      </c>
      <c r="N931" s="1">
        <v>749</v>
      </c>
      <c r="O931" s="1">
        <v>2153</v>
      </c>
      <c r="P931" s="1">
        <v>1404</v>
      </c>
      <c r="Q931" s="1" t="s">
        <v>335</v>
      </c>
      <c r="S931" s="1" t="s">
        <v>336</v>
      </c>
      <c r="T931" s="1" t="s">
        <v>203</v>
      </c>
      <c r="U931" s="1">
        <v>609</v>
      </c>
      <c r="V931" s="5">
        <v>43565</v>
      </c>
      <c r="W931" s="5">
        <v>42955</v>
      </c>
      <c r="X931" s="1">
        <v>1540000</v>
      </c>
      <c r="Y931" s="1">
        <v>1540000</v>
      </c>
      <c r="AA931" s="1">
        <v>1554052.5</v>
      </c>
      <c r="AB931" s="1" t="s">
        <v>640</v>
      </c>
      <c r="AC931" s="5">
        <v>43648</v>
      </c>
      <c r="AF931" s="1">
        <v>10010</v>
      </c>
      <c r="AI931" s="1" t="s">
        <v>102</v>
      </c>
      <c r="AJ931" s="1">
        <v>2018</v>
      </c>
      <c r="AK931" s="1" t="s">
        <v>55</v>
      </c>
      <c r="AL931" s="1">
        <v>67</v>
      </c>
    </row>
    <row r="932" spans="1:38" x14ac:dyDescent="0.2">
      <c r="A932" s="2" t="str">
        <f>HYPERLINK("https://www.compass.com/listing/360-central-park-west-unit-10e-manhattan-ny-10025/29399276517916785/","360 Central Park W, Unit 10E")</f>
        <v>360 Central Park W, Unit 10E</v>
      </c>
      <c r="B932" s="2" t="str">
        <f t="shared" ref="B932:B933" si="161">HYPERLINK("https://www.compass.com/building/360-central-park-west-manhattan-ny/281971555427243781/","360 Central Park West")</f>
        <v>360 Central Park West</v>
      </c>
      <c r="C932" s="1" t="s">
        <v>47</v>
      </c>
      <c r="D932" s="1" t="s">
        <v>41</v>
      </c>
      <c r="E932" s="3">
        <v>3665700</v>
      </c>
      <c r="F932" s="1">
        <v>1906.2402496099801</v>
      </c>
      <c r="G932" s="1">
        <v>5</v>
      </c>
      <c r="H932" s="1">
        <v>3</v>
      </c>
      <c r="I932" s="1">
        <v>3</v>
      </c>
      <c r="J932" s="1">
        <v>2.5</v>
      </c>
      <c r="M932" s="4">
        <v>1923</v>
      </c>
      <c r="N932" s="1">
        <v>2173</v>
      </c>
      <c r="O932" s="1">
        <v>3579</v>
      </c>
      <c r="P932" s="1">
        <v>1406</v>
      </c>
      <c r="Q932" s="1" t="s">
        <v>42</v>
      </c>
      <c r="S932" s="1" t="s">
        <v>42</v>
      </c>
      <c r="T932" s="1" t="s">
        <v>203</v>
      </c>
      <c r="U932" s="1">
        <v>93</v>
      </c>
      <c r="V932" s="5">
        <v>43649</v>
      </c>
      <c r="W932" s="5">
        <v>42892</v>
      </c>
      <c r="X932" s="1">
        <v>3645000</v>
      </c>
      <c r="Y932" s="1">
        <v>3645000</v>
      </c>
      <c r="Z932" s="5">
        <v>42985</v>
      </c>
      <c r="AA932" s="1">
        <v>3665700</v>
      </c>
      <c r="AB932" s="1" t="s">
        <v>717</v>
      </c>
      <c r="AC932" s="5">
        <v>43122</v>
      </c>
      <c r="AF932" s="1">
        <v>10025</v>
      </c>
      <c r="AJ932" s="1">
        <v>1929</v>
      </c>
      <c r="AK932" s="1" t="s">
        <v>428</v>
      </c>
      <c r="AL932" s="1">
        <v>126</v>
      </c>
    </row>
    <row r="933" spans="1:38" x14ac:dyDescent="0.2">
      <c r="A933" s="2" t="str">
        <f>HYPERLINK("https://www.compass.com/listing/360-central-park-west-unit-10e-manhattan-ny-10025/803405422702217337/","360 Central Park W, Unit 10E")</f>
        <v>360 Central Park W, Unit 10E</v>
      </c>
      <c r="B933" s="2" t="str">
        <f t="shared" si="161"/>
        <v>360 Central Park West</v>
      </c>
      <c r="C933" s="1" t="s">
        <v>47</v>
      </c>
      <c r="D933" s="1" t="s">
        <v>41</v>
      </c>
      <c r="E933" s="3">
        <v>3665700</v>
      </c>
      <c r="F933" s="1">
        <v>1906.2402496099801</v>
      </c>
      <c r="G933" s="1">
        <v>5</v>
      </c>
      <c r="H933" s="1">
        <v>3</v>
      </c>
      <c r="I933" s="1">
        <v>3</v>
      </c>
      <c r="J933" s="1">
        <v>2.5</v>
      </c>
      <c r="K933" s="1">
        <v>2</v>
      </c>
      <c r="L933" s="1">
        <v>1</v>
      </c>
      <c r="M933" s="4">
        <v>1923</v>
      </c>
      <c r="N933" s="1">
        <v>2173</v>
      </c>
      <c r="O933" s="1">
        <v>3579</v>
      </c>
      <c r="P933" s="1">
        <v>1406</v>
      </c>
      <c r="Q933" s="1" t="s">
        <v>42</v>
      </c>
      <c r="S933" s="1" t="s">
        <v>42</v>
      </c>
      <c r="T933" s="1" t="s">
        <v>203</v>
      </c>
      <c r="U933" s="1">
        <v>231</v>
      </c>
      <c r="V933" s="5">
        <v>43678</v>
      </c>
      <c r="W933" s="5">
        <v>42891</v>
      </c>
      <c r="X933" s="1">
        <v>3615000</v>
      </c>
      <c r="Y933" s="1">
        <v>3615000</v>
      </c>
      <c r="AA933" s="1">
        <v>3665700</v>
      </c>
      <c r="AB933" s="1" t="s">
        <v>717</v>
      </c>
      <c r="AC933" s="5">
        <v>43122</v>
      </c>
      <c r="AF933" s="1">
        <v>10025</v>
      </c>
      <c r="AJ933" s="1">
        <v>1929</v>
      </c>
      <c r="AK933" s="1" t="s">
        <v>428</v>
      </c>
      <c r="AL933" s="1">
        <v>126</v>
      </c>
    </row>
    <row r="934" spans="1:38" x14ac:dyDescent="0.2">
      <c r="A934" s="2" t="str">
        <f>HYPERLINK("https://www.compass.com/listing/150-east-23rd-street-unit-4a-manhattan-ny-10010/195706580140912625/","150 E 23rd St, Unit 4A")</f>
        <v>150 E 23rd St, Unit 4A</v>
      </c>
      <c r="B934" s="2" t="str">
        <f>HYPERLINK("https://www.compass.com/building/celeste-gramercy-manhattan-ny/292795972759607813/","Celeste Gramercy")</f>
        <v>Celeste Gramercy</v>
      </c>
      <c r="C934" s="1" t="s">
        <v>101</v>
      </c>
      <c r="D934" s="1" t="s">
        <v>41</v>
      </c>
      <c r="E934" s="3">
        <v>1138293</v>
      </c>
      <c r="F934" s="1">
        <v>1621.5</v>
      </c>
      <c r="G934" s="1">
        <v>3</v>
      </c>
      <c r="H934" s="1">
        <v>1</v>
      </c>
      <c r="I934" s="1">
        <v>1</v>
      </c>
      <c r="J934" s="1">
        <v>1</v>
      </c>
      <c r="K934" s="1">
        <v>1</v>
      </c>
      <c r="M934" s="1">
        <v>702</v>
      </c>
      <c r="N934" s="1">
        <v>913</v>
      </c>
      <c r="O934" s="1">
        <v>1575</v>
      </c>
      <c r="P934" s="1">
        <v>662</v>
      </c>
      <c r="Q934" s="1" t="s">
        <v>42</v>
      </c>
      <c r="S934" s="1" t="s">
        <v>42</v>
      </c>
      <c r="T934" s="1" t="s">
        <v>203</v>
      </c>
      <c r="V934" s="5">
        <v>44328</v>
      </c>
      <c r="W934" s="5">
        <v>43521</v>
      </c>
      <c r="X934" s="1">
        <v>1190000</v>
      </c>
      <c r="Y934" s="1">
        <v>1190000</v>
      </c>
      <c r="Z934" s="5">
        <v>43521</v>
      </c>
      <c r="AA934" s="1">
        <v>1138293</v>
      </c>
      <c r="AB934" s="1" t="s">
        <v>718</v>
      </c>
      <c r="AC934" s="5">
        <v>44327</v>
      </c>
      <c r="AF934" s="1">
        <v>10010</v>
      </c>
      <c r="AI934" s="1" t="s">
        <v>45</v>
      </c>
      <c r="AJ934" s="1">
        <v>2018</v>
      </c>
      <c r="AK934" s="1" t="s">
        <v>50</v>
      </c>
      <c r="AL934" s="1">
        <v>51</v>
      </c>
    </row>
    <row r="935" spans="1:38" x14ac:dyDescent="0.2">
      <c r="A935" s="2" t="str">
        <f>HYPERLINK("https://www.compass.com/listing/360-central-park-west-unit-7e-manhattan-ny-10025/29399274018128977/","360 Central Park W, Unit 7E")</f>
        <v>360 Central Park W, Unit 7E</v>
      </c>
      <c r="B935" s="2" t="str">
        <f t="shared" ref="B935:B941" si="162">HYPERLINK("https://www.compass.com/building/360-central-park-west-manhattan-ny/281971555427243781/","360 Central Park West")</f>
        <v>360 Central Park West</v>
      </c>
      <c r="C935" s="1" t="s">
        <v>47</v>
      </c>
      <c r="D935" s="1" t="s">
        <v>41</v>
      </c>
      <c r="E935" s="3">
        <v>3558784</v>
      </c>
      <c r="F935" s="1">
        <v>1850.6417056682201</v>
      </c>
      <c r="G935" s="1">
        <v>5</v>
      </c>
      <c r="H935" s="1">
        <v>3</v>
      </c>
      <c r="I935" s="1">
        <v>3</v>
      </c>
      <c r="J935" s="1">
        <v>2.5</v>
      </c>
      <c r="M935" s="4">
        <v>1923</v>
      </c>
      <c r="N935" s="1">
        <v>1831</v>
      </c>
      <c r="O935" s="1">
        <v>3259</v>
      </c>
      <c r="P935" s="1">
        <v>1428</v>
      </c>
      <c r="Q935" s="1" t="s">
        <v>42</v>
      </c>
      <c r="S935" s="1" t="s">
        <v>42</v>
      </c>
      <c r="T935" s="1" t="s">
        <v>203</v>
      </c>
      <c r="U935" s="1">
        <v>41</v>
      </c>
      <c r="V935" s="5">
        <v>43650</v>
      </c>
      <c r="W935" s="5">
        <v>42453</v>
      </c>
      <c r="X935" s="1">
        <v>3495000</v>
      </c>
      <c r="Y935" s="1">
        <v>3495000</v>
      </c>
      <c r="Z935" s="5">
        <v>42494</v>
      </c>
      <c r="AA935" s="1">
        <v>3558784</v>
      </c>
      <c r="AB935" s="1" t="s">
        <v>711</v>
      </c>
      <c r="AC935" s="5">
        <v>43168</v>
      </c>
      <c r="AF935" s="1">
        <v>10025</v>
      </c>
      <c r="AI935" s="1" t="s">
        <v>348</v>
      </c>
      <c r="AJ935" s="1">
        <v>1929</v>
      </c>
      <c r="AK935" s="1" t="s">
        <v>87</v>
      </c>
      <c r="AL935" s="1">
        <v>126</v>
      </c>
    </row>
    <row r="936" spans="1:38" x14ac:dyDescent="0.2">
      <c r="A936" s="2" t="str">
        <f>HYPERLINK("https://www.compass.com/listing/360-central-park-west-unit-12e-manhattan-ny-10025/4864735558154336017/","360 Central Park W, Unit 12E")</f>
        <v>360 Central Park W, Unit 12E</v>
      </c>
      <c r="B936" s="2" t="str">
        <f t="shared" si="162"/>
        <v>360 Central Park West</v>
      </c>
      <c r="C936" s="1" t="s">
        <v>47</v>
      </c>
      <c r="D936" s="1" t="s">
        <v>41</v>
      </c>
      <c r="E936" s="3">
        <v>3655000</v>
      </c>
      <c r="F936" s="1">
        <v>1900.67602704108</v>
      </c>
      <c r="G936" s="1">
        <v>5</v>
      </c>
      <c r="H936" s="1">
        <v>3</v>
      </c>
      <c r="I936" s="1">
        <v>3</v>
      </c>
      <c r="J936" s="1">
        <v>2.5</v>
      </c>
      <c r="M936" s="4">
        <v>1923</v>
      </c>
      <c r="N936" s="1">
        <v>2173</v>
      </c>
      <c r="O936" s="1">
        <v>3578</v>
      </c>
      <c r="P936" s="1">
        <v>1405</v>
      </c>
      <c r="Q936" s="1" t="s">
        <v>42</v>
      </c>
      <c r="S936" s="1" t="s">
        <v>42</v>
      </c>
      <c r="T936" s="1" t="s">
        <v>203</v>
      </c>
      <c r="U936" s="1">
        <v>14</v>
      </c>
      <c r="V936" s="5">
        <v>43649</v>
      </c>
      <c r="W936" s="5">
        <v>42230</v>
      </c>
      <c r="X936" s="1">
        <v>3655000</v>
      </c>
      <c r="Y936" s="1">
        <v>3655000</v>
      </c>
      <c r="Z936" s="5">
        <v>42244</v>
      </c>
      <c r="AA936" s="1">
        <v>3655000</v>
      </c>
      <c r="AB936" s="1" t="s">
        <v>204</v>
      </c>
      <c r="AC936" s="5">
        <v>43098</v>
      </c>
      <c r="AF936" s="1">
        <v>10025</v>
      </c>
      <c r="AJ936" s="1">
        <v>1929</v>
      </c>
      <c r="AK936" s="1" t="s">
        <v>428</v>
      </c>
      <c r="AL936" s="1">
        <v>126</v>
      </c>
    </row>
    <row r="937" spans="1:38" x14ac:dyDescent="0.2">
      <c r="A937" s="2" t="str">
        <f>HYPERLINK("https://www.compass.com/listing/360-central-park-west-unit-17e-manhattan-ny-10025/803334318495425905/","360 Central Park W, Unit 17E")</f>
        <v>360 Central Park W, Unit 17E</v>
      </c>
      <c r="B937" s="2" t="str">
        <f t="shared" si="162"/>
        <v>360 Central Park West</v>
      </c>
      <c r="C937" s="1" t="s">
        <v>47</v>
      </c>
      <c r="D937" s="1" t="s">
        <v>41</v>
      </c>
      <c r="E937" s="3">
        <v>3915171</v>
      </c>
      <c r="F937" s="1">
        <v>2035.9704888195499</v>
      </c>
      <c r="G937" s="1">
        <v>5</v>
      </c>
      <c r="H937" s="1">
        <v>3</v>
      </c>
      <c r="I937" s="1">
        <v>3</v>
      </c>
      <c r="J937" s="1">
        <v>2.5</v>
      </c>
      <c r="M937" s="4">
        <v>1923</v>
      </c>
      <c r="N937" s="1">
        <v>2173</v>
      </c>
      <c r="O937" s="1">
        <v>3578</v>
      </c>
      <c r="P937" s="1">
        <v>1405</v>
      </c>
      <c r="Q937" s="1" t="s">
        <v>42</v>
      </c>
      <c r="S937" s="1" t="s">
        <v>42</v>
      </c>
      <c r="T937" s="1" t="s">
        <v>203</v>
      </c>
      <c r="U937" s="1">
        <v>16</v>
      </c>
      <c r="V937" s="5">
        <v>43173</v>
      </c>
      <c r="W937" s="5">
        <v>43152</v>
      </c>
      <c r="X937" s="1">
        <v>3795000</v>
      </c>
      <c r="Y937" s="1">
        <v>3845000</v>
      </c>
      <c r="Z937" s="5">
        <v>43169</v>
      </c>
      <c r="AA937" s="1">
        <v>3915171.25</v>
      </c>
      <c r="AB937" s="1" t="s">
        <v>709</v>
      </c>
      <c r="AC937" s="5">
        <v>43271</v>
      </c>
      <c r="AF937" s="1">
        <v>10025</v>
      </c>
      <c r="AJ937" s="1">
        <v>1929</v>
      </c>
      <c r="AK937" s="1" t="s">
        <v>428</v>
      </c>
      <c r="AL937" s="1">
        <v>126</v>
      </c>
    </row>
    <row r="938" spans="1:38" x14ac:dyDescent="0.2">
      <c r="A938" s="2" t="str">
        <f>HYPERLINK("https://www.compass.com/listing/360-central-park-west-unit-2b-manhattan-ny-10025/279706527894373041/","360 Central Park W, Unit 2B")</f>
        <v>360 Central Park W, Unit 2B</v>
      </c>
      <c r="B938" s="2" t="str">
        <f t="shared" si="162"/>
        <v>360 Central Park West</v>
      </c>
      <c r="C938" s="1" t="s">
        <v>47</v>
      </c>
      <c r="D938" s="1" t="s">
        <v>41</v>
      </c>
      <c r="E938" s="3">
        <v>3827813</v>
      </c>
      <c r="F938" s="1">
        <v>1842.9525758305199</v>
      </c>
      <c r="G938" s="1">
        <v>5</v>
      </c>
      <c r="H938" s="1">
        <v>3</v>
      </c>
      <c r="I938" s="1">
        <v>3</v>
      </c>
      <c r="J938" s="1">
        <v>3</v>
      </c>
      <c r="K938" s="1">
        <v>3</v>
      </c>
      <c r="M938" s="4">
        <v>2077</v>
      </c>
      <c r="N938" s="1">
        <v>2522</v>
      </c>
      <c r="O938" s="1">
        <v>3899</v>
      </c>
      <c r="P938" s="1">
        <v>1377</v>
      </c>
      <c r="Q938" s="1" t="s">
        <v>143</v>
      </c>
      <c r="S938" s="1" t="s">
        <v>42</v>
      </c>
      <c r="T938" s="1" t="s">
        <v>203</v>
      </c>
      <c r="U938" s="1">
        <v>3</v>
      </c>
      <c r="V938" s="5">
        <v>43678</v>
      </c>
      <c r="W938" s="5">
        <v>43638</v>
      </c>
      <c r="X938" s="1">
        <v>3595000</v>
      </c>
      <c r="Y938" s="1">
        <v>3595000</v>
      </c>
      <c r="AA938" s="1">
        <v>3827812.5</v>
      </c>
      <c r="AB938" s="1" t="s">
        <v>233</v>
      </c>
      <c r="AC938" s="5">
        <v>43735</v>
      </c>
      <c r="AF938" s="1">
        <v>10025</v>
      </c>
      <c r="AI938" s="1" t="s">
        <v>348</v>
      </c>
      <c r="AJ938" s="1">
        <v>1929</v>
      </c>
      <c r="AK938" s="1" t="s">
        <v>428</v>
      </c>
      <c r="AL938" s="1">
        <v>126</v>
      </c>
    </row>
    <row r="939" spans="1:38" x14ac:dyDescent="0.2">
      <c r="A939" s="2" t="str">
        <f>HYPERLINK("https://www.compass.com/listing/360-central-park-west-unit-2b-manhattan-ny-10025/803307539978272145/","360 Central Park W, Unit 2B")</f>
        <v>360 Central Park W, Unit 2B</v>
      </c>
      <c r="B939" s="2" t="str">
        <f t="shared" si="162"/>
        <v>360 Central Park West</v>
      </c>
      <c r="C939" s="1" t="s">
        <v>47</v>
      </c>
      <c r="D939" s="1" t="s">
        <v>41</v>
      </c>
      <c r="E939" s="3">
        <v>3827813</v>
      </c>
      <c r="F939" s="1">
        <v>1842.9525758305199</v>
      </c>
      <c r="G939" s="1">
        <v>5</v>
      </c>
      <c r="H939" s="1">
        <v>3</v>
      </c>
      <c r="I939" s="1">
        <v>3</v>
      </c>
      <c r="J939" s="1">
        <v>3</v>
      </c>
      <c r="K939" s="1">
        <v>3</v>
      </c>
      <c r="M939" s="4">
        <v>2077</v>
      </c>
      <c r="N939" s="1">
        <v>2481</v>
      </c>
      <c r="O939" s="1">
        <v>3858</v>
      </c>
      <c r="P939" s="1">
        <v>1377</v>
      </c>
      <c r="Q939" s="1" t="s">
        <v>42</v>
      </c>
      <c r="S939" s="1" t="s">
        <v>42</v>
      </c>
      <c r="T939" s="1" t="s">
        <v>203</v>
      </c>
      <c r="U939" s="1">
        <v>2</v>
      </c>
      <c r="V939" s="5">
        <v>43678</v>
      </c>
      <c r="W939" s="5">
        <v>43617</v>
      </c>
      <c r="X939" s="1">
        <v>3695000</v>
      </c>
      <c r="Y939" s="1">
        <v>3695000</v>
      </c>
      <c r="Z939" s="5">
        <v>43173</v>
      </c>
      <c r="AA939" s="1">
        <v>3827812.5</v>
      </c>
      <c r="AB939" s="1" t="s">
        <v>233</v>
      </c>
      <c r="AC939" s="5">
        <v>43735</v>
      </c>
      <c r="AF939" s="1">
        <v>10025</v>
      </c>
      <c r="AJ939" s="1">
        <v>1929</v>
      </c>
      <c r="AK939" s="1" t="s">
        <v>428</v>
      </c>
      <c r="AL939" s="1">
        <v>126</v>
      </c>
    </row>
    <row r="940" spans="1:38" x14ac:dyDescent="0.2">
      <c r="A940" s="2" t="str">
        <f>HYPERLINK("https://www.compass.com/listing/360-central-park-west-unit-6a-manhattan-ny-10025/803307930871037425/","360 Central Park W, Unit 6A")</f>
        <v>360 Central Park W, Unit 6A</v>
      </c>
      <c r="B940" s="2" t="str">
        <f t="shared" si="162"/>
        <v>360 Central Park West</v>
      </c>
      <c r="C940" s="1" t="s">
        <v>47</v>
      </c>
      <c r="D940" s="1" t="s">
        <v>41</v>
      </c>
      <c r="E940" s="3">
        <v>4271559</v>
      </c>
      <c r="F940" s="1">
        <v>2223.6120510150899</v>
      </c>
      <c r="G940" s="1">
        <v>5</v>
      </c>
      <c r="H940" s="1">
        <v>3</v>
      </c>
      <c r="I940" s="1">
        <v>3</v>
      </c>
      <c r="J940" s="1">
        <v>2.5</v>
      </c>
      <c r="M940" s="4">
        <v>1921</v>
      </c>
      <c r="N940" s="1">
        <v>2171</v>
      </c>
      <c r="O940" s="1">
        <v>3575</v>
      </c>
      <c r="P940" s="1">
        <v>1404</v>
      </c>
      <c r="Q940" s="1" t="s">
        <v>42</v>
      </c>
      <c r="S940" s="1" t="s">
        <v>42</v>
      </c>
      <c r="T940" s="1" t="s">
        <v>203</v>
      </c>
      <c r="U940" s="1">
        <v>14</v>
      </c>
      <c r="V940" s="5">
        <v>43173</v>
      </c>
      <c r="W940" s="5">
        <v>42761</v>
      </c>
      <c r="X940" s="1">
        <v>4195000</v>
      </c>
      <c r="Y940" s="1">
        <v>4195000</v>
      </c>
      <c r="Z940" s="5">
        <v>42776</v>
      </c>
      <c r="AA940" s="1">
        <v>4271558.75</v>
      </c>
      <c r="AB940" s="1" t="s">
        <v>712</v>
      </c>
      <c r="AC940" s="5">
        <v>43186</v>
      </c>
      <c r="AF940" s="1">
        <v>10025</v>
      </c>
      <c r="AJ940" s="1">
        <v>1929</v>
      </c>
      <c r="AK940" s="1" t="s">
        <v>428</v>
      </c>
      <c r="AL940" s="1">
        <v>126</v>
      </c>
    </row>
    <row r="941" spans="1:38" x14ac:dyDescent="0.2">
      <c r="A941" s="2" t="str">
        <f>HYPERLINK("https://www.compass.com/listing/360-central-park-west-unit-3c-manhattan-ny-10025/803407226974552617/","360 Central Park W, Unit 3C")</f>
        <v>360 Central Park W, Unit 3C</v>
      </c>
      <c r="B941" s="2" t="str">
        <f t="shared" si="162"/>
        <v>360 Central Park West</v>
      </c>
      <c r="C941" s="1" t="s">
        <v>47</v>
      </c>
      <c r="D941" s="1" t="s">
        <v>41</v>
      </c>
      <c r="E941" s="3">
        <v>901151</v>
      </c>
      <c r="F941" s="1">
        <v>1014.80996621621</v>
      </c>
      <c r="G941" s="1">
        <v>2</v>
      </c>
      <c r="H941" s="1" t="s">
        <v>77</v>
      </c>
      <c r="I941" s="1">
        <v>1</v>
      </c>
      <c r="J941" s="1">
        <v>1</v>
      </c>
      <c r="M941" s="1">
        <v>888</v>
      </c>
      <c r="N941" s="1">
        <v>973</v>
      </c>
      <c r="O941" s="1">
        <v>1602</v>
      </c>
      <c r="P941" s="1">
        <v>629</v>
      </c>
      <c r="Q941" s="1" t="s">
        <v>42</v>
      </c>
      <c r="S941" s="1" t="s">
        <v>42</v>
      </c>
      <c r="T941" s="1" t="s">
        <v>203</v>
      </c>
      <c r="U941" s="1">
        <v>26</v>
      </c>
      <c r="V941" s="5">
        <v>43173</v>
      </c>
      <c r="W941" s="5">
        <v>42452</v>
      </c>
      <c r="X941" s="1">
        <v>885000</v>
      </c>
      <c r="Y941" s="1">
        <v>885000</v>
      </c>
      <c r="Z941" s="5">
        <v>42479</v>
      </c>
      <c r="AA941" s="1">
        <v>901151.25</v>
      </c>
      <c r="AB941" s="1" t="s">
        <v>719</v>
      </c>
      <c r="AC941" s="5">
        <v>43291</v>
      </c>
      <c r="AF941" s="1">
        <v>10025</v>
      </c>
      <c r="AI941" s="1" t="s">
        <v>348</v>
      </c>
      <c r="AJ941" s="1">
        <v>1929</v>
      </c>
      <c r="AK941" s="1" t="s">
        <v>87</v>
      </c>
      <c r="AL941" s="1">
        <v>126</v>
      </c>
    </row>
    <row r="942" spans="1:38" x14ac:dyDescent="0.2">
      <c r="A942" s="2" t="str">
        <f>HYPERLINK("https://www.compass.com/listing/275-west-10th-street-unit-7e-manhattan-ny-10014/29368596098466097/","275 W 10th St, Unit 7E")</f>
        <v>275 W 10th St, Unit 7E</v>
      </c>
      <c r="B942" s="2" t="str">
        <f>HYPERLINK("https://www.compass.com/building/the-shephard-manhattan-ny/281931968864632917/","The Shephard")</f>
        <v>The Shephard</v>
      </c>
      <c r="C942" s="1" t="s">
        <v>68</v>
      </c>
      <c r="D942" s="1" t="s">
        <v>41</v>
      </c>
      <c r="E942" s="3">
        <v>9300000</v>
      </c>
      <c r="F942" s="1">
        <v>2967.45373324824</v>
      </c>
      <c r="G942" s="1">
        <v>6</v>
      </c>
      <c r="H942" s="1">
        <v>3</v>
      </c>
      <c r="I942" s="1">
        <v>4</v>
      </c>
      <c r="J942" s="1">
        <v>0.5</v>
      </c>
      <c r="L942" s="1">
        <v>1</v>
      </c>
      <c r="M942" s="4">
        <v>3134</v>
      </c>
      <c r="N942" s="1">
        <v>2880</v>
      </c>
      <c r="O942" s="1">
        <v>6652</v>
      </c>
      <c r="P942" s="1">
        <v>3772</v>
      </c>
      <c r="Q942" s="1" t="s">
        <v>42</v>
      </c>
      <c r="S942" s="1" t="s">
        <v>42</v>
      </c>
      <c r="T942" s="1" t="s">
        <v>203</v>
      </c>
      <c r="U942" s="1">
        <v>377</v>
      </c>
      <c r="V942" s="5">
        <v>43694</v>
      </c>
      <c r="W942" s="5">
        <v>42389</v>
      </c>
      <c r="X942" s="1">
        <v>10150000</v>
      </c>
      <c r="Y942" s="1">
        <v>9500000</v>
      </c>
      <c r="Z942" s="5">
        <v>42766</v>
      </c>
      <c r="AA942" s="1">
        <v>9300000</v>
      </c>
      <c r="AB942" s="1" t="s">
        <v>660</v>
      </c>
      <c r="AC942" s="5">
        <v>42832</v>
      </c>
      <c r="AF942" s="1">
        <v>10014</v>
      </c>
      <c r="AI942" s="1" t="s">
        <v>86</v>
      </c>
      <c r="AJ942" s="1">
        <v>2015</v>
      </c>
      <c r="AK942" s="1" t="s">
        <v>87</v>
      </c>
      <c r="AL942" s="1">
        <v>38</v>
      </c>
    </row>
    <row r="943" spans="1:38" x14ac:dyDescent="0.2">
      <c r="A943" s="2" t="str">
        <f>HYPERLINK("https://www.compass.com/listing/225-west-86th-street-unit-php-manhattan-ny-10024/120281000843447201/","225 W 86th St, Unit PHP")</f>
        <v>225 W 86th St, Unit PHP</v>
      </c>
      <c r="B943" s="2" t="str">
        <f>HYPERLINK("https://www.compass.com/building/the-belnord-manhattan-ny/292869672083214101/","The Belnord")</f>
        <v>The Belnord</v>
      </c>
      <c r="C943" s="1" t="s">
        <v>47</v>
      </c>
      <c r="D943" s="1" t="s">
        <v>41</v>
      </c>
      <c r="E943" s="3">
        <v>1000859</v>
      </c>
      <c r="F943" s="1">
        <v>1571.2072213500701</v>
      </c>
      <c r="G943" s="1">
        <v>3</v>
      </c>
      <c r="H943" s="1">
        <v>1</v>
      </c>
      <c r="I943" s="1">
        <v>1</v>
      </c>
      <c r="J943" s="1">
        <v>1</v>
      </c>
      <c r="K943" s="1">
        <v>1</v>
      </c>
      <c r="M943" s="1">
        <v>637</v>
      </c>
      <c r="N943" s="1">
        <v>558</v>
      </c>
      <c r="O943" s="1">
        <v>1429</v>
      </c>
      <c r="P943" s="1">
        <v>871</v>
      </c>
      <c r="Q943" s="1" t="s">
        <v>42</v>
      </c>
      <c r="S943" s="1" t="s">
        <v>42</v>
      </c>
      <c r="T943" s="1" t="s">
        <v>203</v>
      </c>
      <c r="V943" s="5">
        <v>43648</v>
      </c>
      <c r="W943" s="5">
        <v>43418</v>
      </c>
      <c r="X943" s="1">
        <v>2010000</v>
      </c>
      <c r="Y943" s="1">
        <v>2010000</v>
      </c>
      <c r="Z943" s="5">
        <v>43418</v>
      </c>
      <c r="AA943" s="1">
        <v>1000859</v>
      </c>
      <c r="AB943" s="1" t="s">
        <v>204</v>
      </c>
      <c r="AC943" s="5">
        <v>43564</v>
      </c>
      <c r="AF943" s="1">
        <v>10024</v>
      </c>
      <c r="AI943" s="1" t="s">
        <v>67</v>
      </c>
      <c r="AJ943" s="1">
        <v>1908</v>
      </c>
      <c r="AK943" s="1" t="s">
        <v>81</v>
      </c>
      <c r="AL943" s="1">
        <v>213</v>
      </c>
    </row>
    <row r="944" spans="1:38" x14ac:dyDescent="0.2">
      <c r="A944" s="2" t="str">
        <f>HYPERLINK("https://www.compass.com/listing/200-east-21st-street-unit-6d-manhattan-ny-10010/95578134195236705/","200 E 21st St, Unit 6D")</f>
        <v>200 E 21st St, Unit 6D</v>
      </c>
      <c r="B944" s="2" t="str">
        <f>HYPERLINK("https://www.compass.com/building/200-east-21st-street-manhattan-ny/292796762689658005/","200 East 21st Street")</f>
        <v>200 East 21st Street</v>
      </c>
      <c r="C944" s="1" t="s">
        <v>101</v>
      </c>
      <c r="D944" s="1" t="s">
        <v>41</v>
      </c>
      <c r="E944" s="3">
        <v>1486645</v>
      </c>
      <c r="F944" s="1">
        <v>2085.0561009817602</v>
      </c>
      <c r="G944" s="1">
        <v>3</v>
      </c>
      <c r="H944" s="1">
        <v>1</v>
      </c>
      <c r="I944" s="1">
        <v>1</v>
      </c>
      <c r="J944" s="1">
        <v>1</v>
      </c>
      <c r="K944" s="1">
        <v>1</v>
      </c>
      <c r="M944" s="1">
        <v>713</v>
      </c>
      <c r="N944" s="1">
        <v>698</v>
      </c>
      <c r="O944" s="1">
        <v>2006</v>
      </c>
      <c r="P944" s="1">
        <v>1308</v>
      </c>
      <c r="Q944" s="1" t="s">
        <v>335</v>
      </c>
      <c r="S944" s="1" t="s">
        <v>336</v>
      </c>
      <c r="T944" s="1" t="s">
        <v>203</v>
      </c>
      <c r="U944" s="1">
        <v>428</v>
      </c>
      <c r="V944" s="5">
        <v>44225</v>
      </c>
      <c r="W944" s="5">
        <v>42955</v>
      </c>
      <c r="X944" s="1">
        <v>1460000</v>
      </c>
      <c r="Y944" s="1">
        <v>1460000</v>
      </c>
      <c r="Z944" s="5">
        <v>43384</v>
      </c>
      <c r="AA944" s="1">
        <v>1486645</v>
      </c>
      <c r="AB944" s="1" t="s">
        <v>638</v>
      </c>
      <c r="AC944" s="5">
        <v>43668</v>
      </c>
      <c r="AF944" s="1">
        <v>10010</v>
      </c>
      <c r="AI944" s="1" t="s">
        <v>102</v>
      </c>
      <c r="AJ944" s="1">
        <v>2018</v>
      </c>
      <c r="AK944" s="1" t="s">
        <v>55</v>
      </c>
      <c r="AL944" s="1">
        <v>67</v>
      </c>
    </row>
    <row r="945" spans="1:38" x14ac:dyDescent="0.2">
      <c r="A945" s="2" t="str">
        <f>HYPERLINK("https://www.compass.com/listing/225-west-86th-street-unit-phi-manhattan-ny-10024/115199761878884241/","225 W 86th St, Unit PHI")</f>
        <v>225 W 86th St, Unit PHI</v>
      </c>
      <c r="B945" s="2" t="str">
        <f t="shared" ref="B945:B946" si="163">HYPERLINK("https://www.compass.com/building/the-belnord-manhattan-ny/292869672083214101/","The Belnord")</f>
        <v>The Belnord</v>
      </c>
      <c r="C945" s="1" t="s">
        <v>47</v>
      </c>
      <c r="D945" s="1" t="s">
        <v>41</v>
      </c>
      <c r="E945" s="3">
        <v>1332591</v>
      </c>
      <c r="F945" s="1">
        <v>1382.35580912863</v>
      </c>
      <c r="G945" s="1">
        <v>3</v>
      </c>
      <c r="H945" s="1">
        <v>1</v>
      </c>
      <c r="I945" s="1">
        <v>1</v>
      </c>
      <c r="J945" s="1">
        <v>1</v>
      </c>
      <c r="K945" s="1">
        <v>1</v>
      </c>
      <c r="M945" s="1">
        <v>964</v>
      </c>
      <c r="N945" s="1">
        <v>845</v>
      </c>
      <c r="O945" s="1">
        <v>2163</v>
      </c>
      <c r="P945" s="1">
        <v>1318</v>
      </c>
      <c r="Q945" s="1" t="s">
        <v>42</v>
      </c>
      <c r="S945" s="1" t="s">
        <v>42</v>
      </c>
      <c r="T945" s="1" t="s">
        <v>203</v>
      </c>
      <c r="V945" s="5">
        <v>43635</v>
      </c>
      <c r="W945" s="5">
        <v>43411</v>
      </c>
      <c r="X945" s="1">
        <v>2150000</v>
      </c>
      <c r="Y945" s="1">
        <v>2150000</v>
      </c>
      <c r="Z945" s="5">
        <v>43411</v>
      </c>
      <c r="AA945" s="1">
        <v>1332591</v>
      </c>
      <c r="AB945" s="1" t="s">
        <v>204</v>
      </c>
      <c r="AC945" s="5">
        <v>43551</v>
      </c>
      <c r="AF945" s="1">
        <v>10024</v>
      </c>
      <c r="AI945" s="1" t="s">
        <v>67</v>
      </c>
      <c r="AJ945" s="1">
        <v>1908</v>
      </c>
      <c r="AK945" s="1" t="s">
        <v>81</v>
      </c>
      <c r="AL945" s="1">
        <v>213</v>
      </c>
    </row>
    <row r="946" spans="1:38" x14ac:dyDescent="0.2">
      <c r="A946" s="2" t="str">
        <f>HYPERLINK("https://www.compass.com/listing/225-west-86th-street-unit-phh-manhattan-ny-10024/145603191751336081/","225 W 86th St, Unit PHH")</f>
        <v>225 W 86th St, Unit PHH</v>
      </c>
      <c r="B946" s="2" t="str">
        <f t="shared" si="163"/>
        <v>The Belnord</v>
      </c>
      <c r="C946" s="1" t="s">
        <v>47</v>
      </c>
      <c r="D946" s="1" t="s">
        <v>41</v>
      </c>
      <c r="E946" s="3">
        <v>1028931</v>
      </c>
      <c r="F946" s="1">
        <v>1059.66117404737</v>
      </c>
      <c r="G946" s="1">
        <v>3</v>
      </c>
      <c r="H946" s="1">
        <v>1</v>
      </c>
      <c r="I946" s="1">
        <v>1</v>
      </c>
      <c r="J946" s="1">
        <v>1</v>
      </c>
      <c r="K946" s="1">
        <v>1</v>
      </c>
      <c r="M946" s="1">
        <v>971</v>
      </c>
      <c r="N946" s="1">
        <v>851</v>
      </c>
      <c r="O946" s="1">
        <v>2178</v>
      </c>
      <c r="P946" s="1">
        <v>1327</v>
      </c>
      <c r="Q946" s="1" t="s">
        <v>42</v>
      </c>
      <c r="S946" s="1" t="s">
        <v>42</v>
      </c>
      <c r="T946" s="1" t="s">
        <v>203</v>
      </c>
      <c r="V946" s="5">
        <v>43641</v>
      </c>
      <c r="W946" s="5">
        <v>43453</v>
      </c>
      <c r="X946" s="1">
        <v>2150000</v>
      </c>
      <c r="Y946" s="1">
        <v>2150000</v>
      </c>
      <c r="Z946" s="5">
        <v>43453</v>
      </c>
      <c r="AA946" s="1">
        <v>1028931</v>
      </c>
      <c r="AB946" s="1" t="s">
        <v>204</v>
      </c>
      <c r="AC946" s="5">
        <v>43568</v>
      </c>
      <c r="AF946" s="1">
        <v>10024</v>
      </c>
      <c r="AI946" s="1" t="s">
        <v>67</v>
      </c>
      <c r="AJ946" s="1">
        <v>1908</v>
      </c>
      <c r="AK946" s="1" t="s">
        <v>81</v>
      </c>
      <c r="AL946" s="1">
        <v>213</v>
      </c>
    </row>
    <row r="947" spans="1:38" x14ac:dyDescent="0.2">
      <c r="A947" s="2" t="str">
        <f>HYPERLINK("https://www.compass.com/listing/360-central-park-west-unit-3c-manhattan-ny-10025/29508827518887489/","360 Central Park W, Unit 3C")</f>
        <v>360 Central Park W, Unit 3C</v>
      </c>
      <c r="B947" s="2" t="str">
        <f>HYPERLINK("https://www.compass.com/building/360-central-park-west-manhattan-ny/281971555427243781/","360 Central Park West")</f>
        <v>360 Central Park West</v>
      </c>
      <c r="C947" s="1" t="s">
        <v>47</v>
      </c>
      <c r="D947" s="1" t="s">
        <v>41</v>
      </c>
      <c r="E947" s="3">
        <v>901151</v>
      </c>
      <c r="F947" s="1">
        <v>1014.80968468468</v>
      </c>
      <c r="G947" s="1">
        <v>2</v>
      </c>
      <c r="H947" s="1" t="s">
        <v>77</v>
      </c>
      <c r="I947" s="1">
        <v>1</v>
      </c>
      <c r="J947" s="1">
        <v>1</v>
      </c>
      <c r="K947" s="1">
        <v>1</v>
      </c>
      <c r="M947" s="1">
        <v>888</v>
      </c>
      <c r="N947" s="1">
        <v>973</v>
      </c>
      <c r="O947" s="1">
        <v>1602</v>
      </c>
      <c r="P947" s="1">
        <v>629</v>
      </c>
      <c r="Q947" s="1" t="s">
        <v>42</v>
      </c>
      <c r="S947" s="1" t="s">
        <v>42</v>
      </c>
      <c r="T947" s="1" t="s">
        <v>203</v>
      </c>
      <c r="U947" s="1">
        <v>26</v>
      </c>
      <c r="V947" s="5">
        <v>43678</v>
      </c>
      <c r="W947" s="5">
        <v>42453</v>
      </c>
      <c r="X947" s="1">
        <v>885000</v>
      </c>
      <c r="Y947" s="1">
        <v>885000</v>
      </c>
      <c r="Z947" s="5">
        <v>42479</v>
      </c>
      <c r="AA947" s="1">
        <v>901151</v>
      </c>
      <c r="AB947" s="1" t="s">
        <v>719</v>
      </c>
      <c r="AC947" s="5">
        <v>43292</v>
      </c>
      <c r="AF947" s="1">
        <v>10025</v>
      </c>
      <c r="AI947" s="1" t="s">
        <v>348</v>
      </c>
      <c r="AJ947" s="1">
        <v>1929</v>
      </c>
      <c r="AK947" s="1" t="s">
        <v>87</v>
      </c>
      <c r="AL947" s="1">
        <v>126</v>
      </c>
    </row>
    <row r="948" spans="1:38" x14ac:dyDescent="0.2">
      <c r="A948" s="2" t="str">
        <f>HYPERLINK("https://www.compass.com/listing/275-west-10th-street-unit-8c-manhattan-ny-10014/803337692637112793/","275 W 10th St, Unit 8C")</f>
        <v>275 W 10th St, Unit 8C</v>
      </c>
      <c r="B948" s="2" t="str">
        <f>HYPERLINK("https://www.compass.com/building/the-shephard-manhattan-ny/281931968864632917/","The Shephard")</f>
        <v>The Shephard</v>
      </c>
      <c r="C948" s="1" t="s">
        <v>68</v>
      </c>
      <c r="D948" s="1" t="s">
        <v>41</v>
      </c>
      <c r="E948" s="3">
        <v>5095000</v>
      </c>
      <c r="F948" s="1">
        <v>2899.8292544109199</v>
      </c>
      <c r="G948" s="1">
        <v>4</v>
      </c>
      <c r="H948" s="1">
        <v>2</v>
      </c>
      <c r="I948" s="1">
        <v>3</v>
      </c>
      <c r="J948" s="1">
        <v>0.5</v>
      </c>
      <c r="L948" s="1">
        <v>1</v>
      </c>
      <c r="M948" s="4">
        <v>1757</v>
      </c>
      <c r="N948" s="1">
        <v>1615</v>
      </c>
      <c r="O948" s="1">
        <v>3730</v>
      </c>
      <c r="P948" s="1">
        <v>2115</v>
      </c>
      <c r="Q948" s="1" t="s">
        <v>42</v>
      </c>
      <c r="S948" s="1" t="s">
        <v>42</v>
      </c>
      <c r="T948" s="1" t="s">
        <v>203</v>
      </c>
      <c r="V948" s="5">
        <v>43238</v>
      </c>
      <c r="W948" s="5">
        <v>42406</v>
      </c>
      <c r="X948" s="1">
        <v>5095000</v>
      </c>
      <c r="AB948" s="1" t="s">
        <v>204</v>
      </c>
      <c r="AF948" s="1">
        <v>10014</v>
      </c>
      <c r="AI948" s="1" t="s">
        <v>86</v>
      </c>
      <c r="AJ948" s="1">
        <v>2015</v>
      </c>
      <c r="AK948" s="1" t="s">
        <v>87</v>
      </c>
      <c r="AL948" s="1">
        <v>38</v>
      </c>
    </row>
    <row r="949" spans="1:38" x14ac:dyDescent="0.2">
      <c r="A949" s="2" t="str">
        <f>HYPERLINK("https://www.compass.com/listing/360-central-park-west-unit-5b-manhattan-ny-10025/29399272373944241/","360 Central Park W, Unit 5B")</f>
        <v>360 Central Park W, Unit 5B</v>
      </c>
      <c r="B949" s="2" t="str">
        <f>HYPERLINK("https://www.compass.com/building/360-central-park-west-manhattan-ny/281971555427243781/","360 Central Park West")</f>
        <v>360 Central Park West</v>
      </c>
      <c r="C949" s="1" t="s">
        <v>47</v>
      </c>
      <c r="D949" s="1" t="s">
        <v>41</v>
      </c>
      <c r="E949" s="3">
        <v>4900000</v>
      </c>
      <c r="F949" s="1">
        <v>2187.5</v>
      </c>
      <c r="G949" s="1">
        <v>5</v>
      </c>
      <c r="H949" s="1">
        <v>3</v>
      </c>
      <c r="I949" s="1">
        <v>3</v>
      </c>
      <c r="J949" s="1">
        <v>3</v>
      </c>
      <c r="K949" s="1">
        <v>3</v>
      </c>
      <c r="M949" s="4">
        <v>2240</v>
      </c>
      <c r="N949" s="1">
        <v>2625</v>
      </c>
      <c r="O949" s="1">
        <v>4322</v>
      </c>
      <c r="P949" s="1">
        <v>1697</v>
      </c>
      <c r="Q949" s="1" t="s">
        <v>42</v>
      </c>
      <c r="S949" s="1" t="s">
        <v>42</v>
      </c>
      <c r="T949" s="1" t="s">
        <v>203</v>
      </c>
      <c r="U949" s="1">
        <v>84</v>
      </c>
      <c r="V949" s="5">
        <v>43678</v>
      </c>
      <c r="W949" s="5">
        <v>42781</v>
      </c>
      <c r="X949" s="1">
        <v>4950000</v>
      </c>
      <c r="Y949" s="1">
        <v>4900000</v>
      </c>
      <c r="Z949" s="5">
        <v>42865</v>
      </c>
      <c r="AA949" s="1">
        <v>4900000</v>
      </c>
      <c r="AB949" s="1" t="s">
        <v>720</v>
      </c>
      <c r="AC949" s="5">
        <v>43249</v>
      </c>
      <c r="AF949" s="1">
        <v>10025</v>
      </c>
      <c r="AI949" s="1" t="s">
        <v>348</v>
      </c>
      <c r="AJ949" s="1">
        <v>1929</v>
      </c>
      <c r="AK949" s="1" t="s">
        <v>87</v>
      </c>
      <c r="AL949" s="1">
        <v>126</v>
      </c>
    </row>
    <row r="950" spans="1:38" x14ac:dyDescent="0.2">
      <c r="A950" s="2" t="str">
        <f>HYPERLINK("https://www.compass.com/listing/275-west-10th-street-unit-8c-manhattan-ny-10014/29368597558083921/","275 W 10th St, Unit 8C")</f>
        <v>275 W 10th St, Unit 8C</v>
      </c>
      <c r="B950" s="2" t="str">
        <f>HYPERLINK("https://www.compass.com/building/the-shephard-manhattan-ny/281931968864632917/","The Shephard")</f>
        <v>The Shephard</v>
      </c>
      <c r="C950" s="1" t="s">
        <v>68</v>
      </c>
      <c r="D950" s="1" t="s">
        <v>41</v>
      </c>
      <c r="E950" s="3">
        <v>5187984</v>
      </c>
      <c r="F950" s="1">
        <v>2952.75128059191</v>
      </c>
      <c r="G950" s="1">
        <v>4</v>
      </c>
      <c r="H950" s="1">
        <v>2</v>
      </c>
      <c r="I950" s="1">
        <v>3</v>
      </c>
      <c r="J950" s="1">
        <v>2.5</v>
      </c>
      <c r="M950" s="4">
        <v>1757</v>
      </c>
      <c r="N950" s="1">
        <v>1615</v>
      </c>
      <c r="O950" s="1">
        <v>3730</v>
      </c>
      <c r="P950" s="1">
        <v>2115</v>
      </c>
      <c r="Q950" s="1" t="s">
        <v>42</v>
      </c>
      <c r="S950" s="1" t="s">
        <v>42</v>
      </c>
      <c r="T950" s="1" t="s">
        <v>203</v>
      </c>
      <c r="V950" s="5">
        <v>43665</v>
      </c>
      <c r="W950" s="5">
        <v>42407</v>
      </c>
      <c r="X950" s="1">
        <v>5095000</v>
      </c>
      <c r="Y950" s="1">
        <v>5095000</v>
      </c>
      <c r="Z950" s="5">
        <v>42407</v>
      </c>
      <c r="AA950" s="1">
        <v>5187984</v>
      </c>
      <c r="AB950" s="1" t="s">
        <v>721</v>
      </c>
      <c r="AC950" s="5">
        <v>42795</v>
      </c>
      <c r="AF950" s="1">
        <v>10014</v>
      </c>
      <c r="AI950" s="1" t="s">
        <v>67</v>
      </c>
      <c r="AJ950" s="1">
        <v>2015</v>
      </c>
      <c r="AK950" s="1" t="s">
        <v>87</v>
      </c>
      <c r="AL950" s="1">
        <v>38</v>
      </c>
    </row>
    <row r="951" spans="1:38" x14ac:dyDescent="0.2">
      <c r="A951" s="2" t="str">
        <f>HYPERLINK("https://www.compass.com/listing/111-leroy-street-unit-3d-manhattan-ny-10014/282035922457956225/","111 Leroy St, Unit 3D")</f>
        <v>111 Leroy St, Unit 3D</v>
      </c>
      <c r="B951" s="2" t="str">
        <f>HYPERLINK("https://www.compass.com/building/111-leroy-st-manhattan-ny-10014/281921905882074869/","111 Leroy St")</f>
        <v>111 Leroy St</v>
      </c>
      <c r="C951" s="1" t="s">
        <v>68</v>
      </c>
      <c r="D951" s="1" t="s">
        <v>41</v>
      </c>
      <c r="E951" s="3">
        <v>1995000</v>
      </c>
      <c r="F951" s="1">
        <v>2221.6035634743798</v>
      </c>
      <c r="G951" s="1">
        <v>4.5</v>
      </c>
      <c r="H951" s="1">
        <v>1</v>
      </c>
      <c r="I951" s="1">
        <v>2</v>
      </c>
      <c r="J951" s="1">
        <v>1.5</v>
      </c>
      <c r="K951" s="1">
        <v>1</v>
      </c>
      <c r="L951" s="1">
        <v>1</v>
      </c>
      <c r="M951" s="1">
        <v>898</v>
      </c>
      <c r="N951" s="1">
        <v>1051</v>
      </c>
      <c r="O951" s="1">
        <v>2278</v>
      </c>
      <c r="P951" s="1">
        <v>1227</v>
      </c>
      <c r="Q951" s="1" t="s">
        <v>42</v>
      </c>
      <c r="S951" s="1" t="s">
        <v>42</v>
      </c>
      <c r="T951" s="1" t="s">
        <v>203</v>
      </c>
      <c r="U951" s="1">
        <v>231</v>
      </c>
      <c r="V951" s="5">
        <v>44314</v>
      </c>
      <c r="W951" s="5">
        <v>43634</v>
      </c>
      <c r="X951" s="1">
        <v>2195000</v>
      </c>
      <c r="Y951" s="1">
        <v>1995000</v>
      </c>
      <c r="Z951" s="5">
        <v>43866</v>
      </c>
      <c r="AA951" s="1">
        <v>1995000</v>
      </c>
      <c r="AB951" s="1" t="s">
        <v>204</v>
      </c>
      <c r="AC951" s="5">
        <v>44271</v>
      </c>
      <c r="AF951" s="1">
        <v>10014</v>
      </c>
      <c r="AI951" s="1" t="s">
        <v>76</v>
      </c>
      <c r="AJ951" s="1">
        <v>2019</v>
      </c>
      <c r="AK951" s="1" t="s">
        <v>81</v>
      </c>
      <c r="AL951" s="1">
        <v>13</v>
      </c>
    </row>
    <row r="952" spans="1:38" x14ac:dyDescent="0.2">
      <c r="A952" s="2" t="str">
        <f>HYPERLINK("https://www.compass.com/listing/360-central-park-west-unit-5b-manhattan-ny-10025/803404912700600241/","360 Central Park W, Unit 5B")</f>
        <v>360 Central Park W, Unit 5B</v>
      </c>
      <c r="B952" s="2" t="str">
        <f>HYPERLINK("https://www.compass.com/building/360-central-park-west-manhattan-ny/281971555427243781/","360 Central Park West")</f>
        <v>360 Central Park West</v>
      </c>
      <c r="C952" s="1" t="s">
        <v>47</v>
      </c>
      <c r="D952" s="1" t="s">
        <v>41</v>
      </c>
      <c r="E952" s="3">
        <v>4900000</v>
      </c>
      <c r="F952" s="1">
        <v>2187.5</v>
      </c>
      <c r="G952" s="1">
        <v>5</v>
      </c>
      <c r="H952" s="1">
        <v>3</v>
      </c>
      <c r="I952" s="1">
        <v>3</v>
      </c>
      <c r="J952" s="1">
        <v>3</v>
      </c>
      <c r="M952" s="4">
        <v>2240</v>
      </c>
      <c r="N952" s="1">
        <v>2625</v>
      </c>
      <c r="O952" s="1">
        <v>4322</v>
      </c>
      <c r="P952" s="1">
        <v>1697</v>
      </c>
      <c r="Q952" s="1" t="s">
        <v>42</v>
      </c>
      <c r="S952" s="1" t="s">
        <v>42</v>
      </c>
      <c r="T952" s="1" t="s">
        <v>203</v>
      </c>
      <c r="U952" s="1">
        <v>98</v>
      </c>
      <c r="V952" s="5">
        <v>43173</v>
      </c>
      <c r="W952" s="5">
        <v>42780</v>
      </c>
      <c r="Y952" s="1">
        <v>4900000</v>
      </c>
      <c r="Z952" s="5">
        <v>42879</v>
      </c>
      <c r="AA952" s="1">
        <v>4900000</v>
      </c>
      <c r="AB952" s="1" t="s">
        <v>720</v>
      </c>
      <c r="AC952" s="5">
        <v>43249</v>
      </c>
      <c r="AF952" s="1">
        <v>10025</v>
      </c>
      <c r="AI952" s="1" t="s">
        <v>348</v>
      </c>
      <c r="AJ952" s="1">
        <v>1929</v>
      </c>
      <c r="AK952" s="1" t="s">
        <v>87</v>
      </c>
      <c r="AL952" s="1">
        <v>126</v>
      </c>
    </row>
    <row r="953" spans="1:38" x14ac:dyDescent="0.2">
      <c r="A953" s="2" t="str">
        <f>HYPERLINK("https://www.compass.com/listing/275-west-10th-street-unit-5c-manhattan-ny-10014/29368593279893745/","275 W 10th St, Unit 5C")</f>
        <v>275 W 10th St, Unit 5C</v>
      </c>
      <c r="B953" s="2" t="str">
        <f t="shared" ref="B953:B954" si="164">HYPERLINK("https://www.compass.com/building/the-shephard-manhattan-ny/281931968864632917/","The Shephard")</f>
        <v>The Shephard</v>
      </c>
      <c r="C953" s="1" t="s">
        <v>68</v>
      </c>
      <c r="D953" s="1" t="s">
        <v>41</v>
      </c>
      <c r="E953" s="3">
        <v>9700000</v>
      </c>
      <c r="F953" s="1">
        <v>3095.08615188257</v>
      </c>
      <c r="G953" s="1">
        <v>7</v>
      </c>
      <c r="H953" s="1">
        <v>3</v>
      </c>
      <c r="I953" s="1">
        <v>4</v>
      </c>
      <c r="J953" s="1">
        <v>0.5</v>
      </c>
      <c r="L953" s="1">
        <v>1</v>
      </c>
      <c r="M953" s="4">
        <v>3134</v>
      </c>
      <c r="N953" s="1">
        <v>2880</v>
      </c>
      <c r="O953" s="1">
        <v>6652</v>
      </c>
      <c r="P953" s="1">
        <v>3772</v>
      </c>
      <c r="Q953" s="1" t="s">
        <v>42</v>
      </c>
      <c r="S953" s="1" t="s">
        <v>42</v>
      </c>
      <c r="T953" s="1" t="s">
        <v>203</v>
      </c>
      <c r="V953" s="5">
        <v>43694</v>
      </c>
      <c r="W953" s="5">
        <v>42794</v>
      </c>
      <c r="X953" s="1">
        <v>9700000</v>
      </c>
      <c r="Y953" s="1">
        <v>9700000</v>
      </c>
      <c r="Z953" s="5">
        <v>42794</v>
      </c>
      <c r="AA953" s="1">
        <v>9700000</v>
      </c>
      <c r="AB953" s="1" t="s">
        <v>722</v>
      </c>
      <c r="AC953" s="5">
        <v>42906</v>
      </c>
      <c r="AF953" s="1">
        <v>10014</v>
      </c>
      <c r="AI953" s="1" t="s">
        <v>86</v>
      </c>
      <c r="AJ953" s="1">
        <v>2015</v>
      </c>
      <c r="AK953" s="1" t="s">
        <v>87</v>
      </c>
      <c r="AL953" s="1">
        <v>38</v>
      </c>
    </row>
    <row r="954" spans="1:38" x14ac:dyDescent="0.2">
      <c r="A954" s="2" t="str">
        <f>HYPERLINK("https://www.compass.com/listing/275-west-10th-street-unit-9b-manhattan-ny-10014/29368598724100465/","275 W 10th St, Unit 9B")</f>
        <v>275 W 10th St, Unit 9B</v>
      </c>
      <c r="B954" s="2" t="str">
        <f t="shared" si="164"/>
        <v>The Shephard</v>
      </c>
      <c r="C954" s="1" t="s">
        <v>68</v>
      </c>
      <c r="D954" s="1" t="s">
        <v>41</v>
      </c>
      <c r="E954" s="3">
        <v>9724287</v>
      </c>
      <c r="F954" s="1">
        <v>3363.6413005880299</v>
      </c>
      <c r="G954" s="1">
        <v>5</v>
      </c>
      <c r="H954" s="1">
        <v>3</v>
      </c>
      <c r="I954" s="1">
        <v>4</v>
      </c>
      <c r="J954" s="1">
        <v>0.5</v>
      </c>
      <c r="L954" s="1">
        <v>1</v>
      </c>
      <c r="M954" s="4">
        <v>2891</v>
      </c>
      <c r="N954" s="1">
        <v>2662</v>
      </c>
      <c r="O954" s="1">
        <v>6148</v>
      </c>
      <c r="P954" s="1">
        <v>3486</v>
      </c>
      <c r="Q954" s="1" t="s">
        <v>42</v>
      </c>
      <c r="S954" s="1" t="s">
        <v>42</v>
      </c>
      <c r="T954" s="1" t="s">
        <v>203</v>
      </c>
      <c r="V954" s="5">
        <v>43694</v>
      </c>
      <c r="W954" s="5">
        <v>42368</v>
      </c>
      <c r="X954" s="1">
        <v>9550000</v>
      </c>
      <c r="Y954" s="1">
        <v>9550000</v>
      </c>
      <c r="Z954" s="5">
        <v>42368</v>
      </c>
      <c r="AA954" s="1">
        <v>9724287</v>
      </c>
      <c r="AB954" s="1" t="s">
        <v>723</v>
      </c>
      <c r="AC954" s="5">
        <v>42790</v>
      </c>
      <c r="AF954" s="1">
        <v>10014</v>
      </c>
      <c r="AI954" s="1" t="s">
        <v>86</v>
      </c>
      <c r="AJ954" s="1">
        <v>2015</v>
      </c>
      <c r="AK954" s="1" t="s">
        <v>87</v>
      </c>
      <c r="AL954" s="1">
        <v>38</v>
      </c>
    </row>
    <row r="955" spans="1:38" x14ac:dyDescent="0.2">
      <c r="A955" s="2" t="str">
        <f>HYPERLINK("https://www.compass.com/listing/212-west-95th-street-unit-14a-manhattan-ny-10025/781839851039765513/","212 W 95th St, Unit 14A")</f>
        <v>212 W 95th St, Unit 14A</v>
      </c>
      <c r="B955" s="2" t="str">
        <f>HYPERLINK("https://www.compass.com/building/dahlia-manhattan-ny/282058919214351605/","Dahlia")</f>
        <v>Dahlia</v>
      </c>
      <c r="C955" s="1" t="s">
        <v>47</v>
      </c>
      <c r="D955" s="1" t="s">
        <v>41</v>
      </c>
      <c r="E955" s="3">
        <v>3150000</v>
      </c>
      <c r="F955" s="1">
        <v>2054.79452054794</v>
      </c>
      <c r="G955" s="1">
        <v>5</v>
      </c>
      <c r="H955" s="1">
        <v>3</v>
      </c>
      <c r="I955" s="1">
        <v>3</v>
      </c>
      <c r="J955" s="1">
        <v>3</v>
      </c>
      <c r="K955" s="1">
        <v>3</v>
      </c>
      <c r="M955" s="4">
        <v>1533</v>
      </c>
      <c r="N955" s="1">
        <v>1535</v>
      </c>
      <c r="O955" s="1">
        <v>3842</v>
      </c>
      <c r="P955" s="1">
        <v>2307</v>
      </c>
      <c r="Q955" s="1" t="s">
        <v>42</v>
      </c>
      <c r="S955" s="1" t="s">
        <v>42</v>
      </c>
      <c r="T955" s="1" t="s">
        <v>203</v>
      </c>
      <c r="V955" s="5">
        <v>44418</v>
      </c>
      <c r="W955" s="5">
        <v>44330</v>
      </c>
      <c r="X955" s="1">
        <v>3575000</v>
      </c>
      <c r="Y955" s="1">
        <v>3575000</v>
      </c>
      <c r="Z955" s="5">
        <v>44331</v>
      </c>
      <c r="AA955" s="1">
        <v>3150000</v>
      </c>
      <c r="AB955" s="1" t="s">
        <v>724</v>
      </c>
      <c r="AC955" s="5">
        <v>44391</v>
      </c>
      <c r="AF955" s="1">
        <v>10025</v>
      </c>
      <c r="AI955" s="1" t="s">
        <v>52</v>
      </c>
      <c r="AJ955" s="1">
        <v>2019</v>
      </c>
      <c r="AK955" s="1" t="s">
        <v>87</v>
      </c>
      <c r="AL955" s="1">
        <v>38</v>
      </c>
    </row>
    <row r="956" spans="1:38" x14ac:dyDescent="0.2">
      <c r="A956" s="2" t="str">
        <f>HYPERLINK("https://www.compass.com/listing/111-leroy-street-unit-7-manhattan-ny-10014/185853893521967985/","111 Leroy St, Unit 7")</f>
        <v>111 Leroy St, Unit 7</v>
      </c>
      <c r="B956" s="2" t="str">
        <f>HYPERLINK("https://www.compass.com/building/111-leroy-st-manhattan-ny-10014/281921905882074869/","111 Leroy St")</f>
        <v>111 Leroy St</v>
      </c>
      <c r="C956" s="1" t="s">
        <v>68</v>
      </c>
      <c r="D956" s="1" t="s">
        <v>41</v>
      </c>
      <c r="E956" s="3">
        <v>6458063</v>
      </c>
      <c r="F956" s="1">
        <v>2657.63888888888</v>
      </c>
      <c r="G956" s="1">
        <v>7.5</v>
      </c>
      <c r="H956" s="1">
        <v>3</v>
      </c>
      <c r="I956" s="1">
        <v>3</v>
      </c>
      <c r="J956" s="1">
        <v>2.5</v>
      </c>
      <c r="K956" s="1">
        <v>2</v>
      </c>
      <c r="L956" s="1">
        <v>1</v>
      </c>
      <c r="M956" s="4">
        <v>2430</v>
      </c>
      <c r="N956" s="1">
        <v>3566</v>
      </c>
      <c r="O956" s="1">
        <v>7431</v>
      </c>
      <c r="P956" s="1">
        <v>3865</v>
      </c>
      <c r="Q956" s="1" t="s">
        <v>42</v>
      </c>
      <c r="S956" s="1" t="s">
        <v>42</v>
      </c>
      <c r="T956" s="1" t="s">
        <v>203</v>
      </c>
      <c r="U956" s="1">
        <v>706</v>
      </c>
      <c r="V956" s="5">
        <v>44337</v>
      </c>
      <c r="W956" s="5">
        <v>43507</v>
      </c>
      <c r="AA956" s="1">
        <v>6458062.5</v>
      </c>
      <c r="AB956" s="1" t="s">
        <v>725</v>
      </c>
      <c r="AC956" s="5">
        <v>44330</v>
      </c>
      <c r="AF956" s="1">
        <v>10014</v>
      </c>
      <c r="AI956" s="1" t="s">
        <v>726</v>
      </c>
      <c r="AJ956" s="1">
        <v>2019</v>
      </c>
      <c r="AK956" s="1" t="s">
        <v>121</v>
      </c>
      <c r="AL956" s="1">
        <v>13</v>
      </c>
    </row>
    <row r="957" spans="1:38" x14ac:dyDescent="0.2">
      <c r="A957" s="2" t="str">
        <f>HYPERLINK("https://www.compass.com/listing/101-west-78th-street-unit-8b-manhattan-ny-10024/96766779606473457/","101 W 78th St, Unit 8B")</f>
        <v>101 W 78th St, Unit 8B</v>
      </c>
      <c r="B957" s="2" t="str">
        <f>HYPERLINK("https://www.compass.com/building/101-w-78th-st-manhattan-ny-10024/281961405798754085/","101 W 78th St")</f>
        <v>101 W 78th St</v>
      </c>
      <c r="C957" s="1" t="s">
        <v>47</v>
      </c>
      <c r="D957" s="1" t="s">
        <v>41</v>
      </c>
      <c r="E957" s="3">
        <v>2300000</v>
      </c>
      <c r="F957" s="1">
        <v>1321.83908045977</v>
      </c>
      <c r="G957" s="1">
        <v>5</v>
      </c>
      <c r="H957" s="1">
        <v>2</v>
      </c>
      <c r="I957" s="1">
        <v>1</v>
      </c>
      <c r="J957" s="1">
        <v>1</v>
      </c>
      <c r="K957" s="1">
        <v>1</v>
      </c>
      <c r="M957" s="4">
        <v>1740</v>
      </c>
      <c r="N957" s="1">
        <v>2520</v>
      </c>
      <c r="O957" s="1">
        <v>4146</v>
      </c>
      <c r="P957" s="1">
        <v>1626</v>
      </c>
      <c r="Q957" s="1" t="s">
        <v>42</v>
      </c>
      <c r="S957" s="1" t="s">
        <v>42</v>
      </c>
      <c r="T957" s="1" t="s">
        <v>203</v>
      </c>
      <c r="U957" s="1">
        <v>111</v>
      </c>
      <c r="V957" s="5">
        <v>43687</v>
      </c>
      <c r="W957" s="5">
        <v>43384</v>
      </c>
      <c r="X957" s="1">
        <v>2400000</v>
      </c>
      <c r="Y957" s="1">
        <v>2400000</v>
      </c>
      <c r="Z957" s="5">
        <v>43496</v>
      </c>
      <c r="AA957" s="1">
        <v>2300000</v>
      </c>
      <c r="AB957" s="1" t="s">
        <v>727</v>
      </c>
      <c r="AC957" s="5">
        <v>43571</v>
      </c>
      <c r="AF957" s="1">
        <v>10024</v>
      </c>
      <c r="AJ957" s="1">
        <v>1886</v>
      </c>
      <c r="AK957" s="1" t="s">
        <v>537</v>
      </c>
      <c r="AL957" s="1">
        <v>21</v>
      </c>
    </row>
    <row r="958" spans="1:38" x14ac:dyDescent="0.2">
      <c r="A958" s="2" t="str">
        <f>HYPERLINK("https://www.compass.com/listing/175-west-95th-street-unit-23h-manhattan-ny-10025/79701633428210641/","175 W 95th St, Unit 23H")</f>
        <v>175 W 95th St, Unit 23H</v>
      </c>
      <c r="B958" s="2" t="str">
        <f>HYPERLINK("https://www.compass.com/building/175-w-95th-manhattan-ny/292876785429866517/","175 W 95th")</f>
        <v>175 W 95th</v>
      </c>
      <c r="C958" s="1" t="s">
        <v>47</v>
      </c>
      <c r="D958" s="1" t="s">
        <v>41</v>
      </c>
      <c r="E958" s="3">
        <v>830000</v>
      </c>
      <c r="F958" s="1">
        <v>1646.82539682539</v>
      </c>
      <c r="G958" s="1">
        <v>2.5</v>
      </c>
      <c r="H958" s="1" t="s">
        <v>69</v>
      </c>
      <c r="I958" s="1">
        <v>1</v>
      </c>
      <c r="J958" s="1">
        <v>1</v>
      </c>
      <c r="K958" s="1">
        <v>1</v>
      </c>
      <c r="M958" s="1">
        <v>504</v>
      </c>
      <c r="N958" s="1">
        <v>579</v>
      </c>
      <c r="O958" s="1">
        <v>932.5</v>
      </c>
      <c r="P958" s="1">
        <v>353.5</v>
      </c>
      <c r="Q958" s="1" t="s">
        <v>42</v>
      </c>
      <c r="S958" s="1" t="s">
        <v>42</v>
      </c>
      <c r="T958" s="1" t="s">
        <v>203</v>
      </c>
      <c r="U958" s="1">
        <v>73</v>
      </c>
      <c r="V958" s="5">
        <v>43648</v>
      </c>
      <c r="W958" s="5">
        <v>43362</v>
      </c>
      <c r="X958" s="1">
        <v>799000</v>
      </c>
      <c r="Y958" s="1">
        <v>811800</v>
      </c>
      <c r="Z958" s="5">
        <v>43435</v>
      </c>
      <c r="AA958" s="1">
        <v>830000</v>
      </c>
      <c r="AB958" s="1" t="s">
        <v>728</v>
      </c>
      <c r="AC958" s="5">
        <v>43503</v>
      </c>
      <c r="AF958" s="1">
        <v>10025</v>
      </c>
      <c r="AI958" s="1" t="s">
        <v>100</v>
      </c>
      <c r="AJ958" s="1">
        <v>1971</v>
      </c>
      <c r="AK958" s="1" t="s">
        <v>81</v>
      </c>
      <c r="AL958" s="1">
        <v>226</v>
      </c>
    </row>
    <row r="959" spans="1:38" x14ac:dyDescent="0.2">
      <c r="A959" s="2" t="str">
        <f>HYPERLINK("https://www.compass.com/listing/225-west-86th-street-unit-812-manhattan-ny-10024/665216649983853409/","225 W 86th St, Unit 812")</f>
        <v>225 W 86th St, Unit 812</v>
      </c>
      <c r="B959" s="2" t="str">
        <f>HYPERLINK("https://www.compass.com/building/the-belnord-manhattan-ny/292869672083214101/","The Belnord")</f>
        <v>The Belnord</v>
      </c>
      <c r="C959" s="1" t="s">
        <v>47</v>
      </c>
      <c r="D959" s="1" t="s">
        <v>41</v>
      </c>
      <c r="E959" s="3">
        <v>700000</v>
      </c>
      <c r="F959" s="1">
        <v>223.35673261008199</v>
      </c>
      <c r="G959" s="1">
        <v>7</v>
      </c>
      <c r="H959" s="1">
        <v>4</v>
      </c>
      <c r="I959" s="1">
        <v>5</v>
      </c>
      <c r="J959" s="1">
        <v>4.5</v>
      </c>
      <c r="K959" s="1">
        <v>4</v>
      </c>
      <c r="L959" s="1">
        <v>1</v>
      </c>
      <c r="M959" s="4">
        <v>3134</v>
      </c>
      <c r="N959" s="1">
        <v>2720</v>
      </c>
      <c r="O959" s="1">
        <v>6963</v>
      </c>
      <c r="P959" s="1">
        <v>4243</v>
      </c>
      <c r="Q959" s="1" t="s">
        <v>42</v>
      </c>
      <c r="S959" s="1" t="s">
        <v>42</v>
      </c>
      <c r="T959" s="1" t="s">
        <v>203</v>
      </c>
      <c r="V959" s="5">
        <v>44225</v>
      </c>
      <c r="W959" s="5">
        <v>44169</v>
      </c>
      <c r="X959" s="1">
        <v>7650000</v>
      </c>
      <c r="Y959" s="1">
        <v>7650000</v>
      </c>
      <c r="Z959" s="5">
        <v>44170</v>
      </c>
      <c r="AA959" s="1">
        <v>700000</v>
      </c>
      <c r="AB959" s="1" t="s">
        <v>204</v>
      </c>
      <c r="AC959" s="5">
        <v>44224</v>
      </c>
      <c r="AF959" s="1">
        <v>10024</v>
      </c>
      <c r="AI959" s="1" t="s">
        <v>67</v>
      </c>
      <c r="AJ959" s="1">
        <v>1908</v>
      </c>
      <c r="AK959" s="1" t="s">
        <v>81</v>
      </c>
      <c r="AL959" s="1">
        <v>213</v>
      </c>
    </row>
    <row r="960" spans="1:38" x14ac:dyDescent="0.2">
      <c r="A960" s="2" t="str">
        <f>HYPERLINK("https://www.compass.com/listing/212-west-95th-street-unit-8a-manhattan-ny-10025/202777672361729985/","212 W 95th St, Unit 8A")</f>
        <v>212 W 95th St, Unit 8A</v>
      </c>
      <c r="B960" s="2" t="str">
        <f>HYPERLINK("https://www.compass.com/building/dahlia-manhattan-ny/282058919214351605/","Dahlia")</f>
        <v>Dahlia</v>
      </c>
      <c r="C960" s="1" t="s">
        <v>47</v>
      </c>
      <c r="D960" s="1" t="s">
        <v>41</v>
      </c>
      <c r="E960" s="3">
        <v>2950000</v>
      </c>
      <c r="F960" s="1">
        <v>1926.8451992161899</v>
      </c>
      <c r="G960" s="1">
        <v>5</v>
      </c>
      <c r="H960" s="1">
        <v>3</v>
      </c>
      <c r="I960" s="1">
        <v>3</v>
      </c>
      <c r="J960" s="1">
        <v>3</v>
      </c>
      <c r="K960" s="1">
        <v>3</v>
      </c>
      <c r="M960" s="4">
        <v>1531</v>
      </c>
      <c r="N960" s="1">
        <v>1400</v>
      </c>
      <c r="O960" s="1">
        <v>3540</v>
      </c>
      <c r="P960" s="1">
        <v>2140</v>
      </c>
      <c r="Q960" s="1" t="s">
        <v>42</v>
      </c>
      <c r="S960" s="1" t="s">
        <v>42</v>
      </c>
      <c r="T960" s="1" t="s">
        <v>203</v>
      </c>
      <c r="U960" s="1">
        <v>92</v>
      </c>
      <c r="V960" s="5">
        <v>44218</v>
      </c>
      <c r="W960" s="5">
        <v>44049</v>
      </c>
      <c r="X960" s="1">
        <v>3275000</v>
      </c>
      <c r="Y960" s="1">
        <v>3275000</v>
      </c>
      <c r="Z960" s="5">
        <v>44142</v>
      </c>
      <c r="AA960" s="1">
        <v>2950000</v>
      </c>
      <c r="AB960" s="1" t="s">
        <v>729</v>
      </c>
      <c r="AC960" s="5">
        <v>44193</v>
      </c>
      <c r="AF960" s="1">
        <v>10025</v>
      </c>
      <c r="AI960" s="1" t="s">
        <v>163</v>
      </c>
      <c r="AJ960" s="1">
        <v>2019</v>
      </c>
      <c r="AK960" s="1" t="s">
        <v>87</v>
      </c>
      <c r="AL960" s="1">
        <v>38</v>
      </c>
    </row>
    <row r="961" spans="1:38" x14ac:dyDescent="0.2">
      <c r="A961" s="2" t="str">
        <f>HYPERLINK("https://www.compass.com/listing/360-central-park-west-unit-10h-manhattan-ny-10025/220903550388031153/","360 Central Park W, Unit 10H")</f>
        <v>360 Central Park W, Unit 10H</v>
      </c>
      <c r="B961" s="2" t="str">
        <f t="shared" ref="B961:B964" si="165">HYPERLINK("https://www.compass.com/building/360-central-park-west-manhattan-ny/281971555427243781/","360 Central Park West")</f>
        <v>360 Central Park West</v>
      </c>
      <c r="C961" s="1" t="s">
        <v>47</v>
      </c>
      <c r="D961" s="1" t="s">
        <v>41</v>
      </c>
      <c r="E961" s="3">
        <v>5525000</v>
      </c>
      <c r="F961" s="1">
        <v>1878.612716763</v>
      </c>
      <c r="G961" s="1">
        <v>6</v>
      </c>
      <c r="H961" s="1">
        <v>4</v>
      </c>
      <c r="I961" s="1">
        <v>5</v>
      </c>
      <c r="J961" s="1">
        <v>4.5</v>
      </c>
      <c r="K961" s="1">
        <v>4</v>
      </c>
      <c r="L961" s="1">
        <v>1</v>
      </c>
      <c r="M961" s="4">
        <v>2941</v>
      </c>
      <c r="N961" s="1">
        <v>3319</v>
      </c>
      <c r="O961" s="1">
        <v>5466</v>
      </c>
      <c r="P961" s="1">
        <v>2147</v>
      </c>
      <c r="Q961" s="1" t="s">
        <v>42</v>
      </c>
      <c r="S961" s="1" t="s">
        <v>42</v>
      </c>
      <c r="T961" s="1" t="s">
        <v>203</v>
      </c>
      <c r="U961" s="1">
        <v>50</v>
      </c>
      <c r="V961" s="5">
        <v>43694</v>
      </c>
      <c r="W961" s="5">
        <v>43557</v>
      </c>
      <c r="X961" s="1">
        <v>5575000</v>
      </c>
      <c r="Y961" s="1">
        <v>5575000</v>
      </c>
      <c r="Z961" s="5">
        <v>43607</v>
      </c>
      <c r="AA961" s="1">
        <v>5525000</v>
      </c>
      <c r="AB961" s="1" t="s">
        <v>730</v>
      </c>
      <c r="AC961" s="5">
        <v>43641</v>
      </c>
      <c r="AF961" s="1">
        <v>10025</v>
      </c>
      <c r="AJ961" s="1">
        <v>1929</v>
      </c>
      <c r="AK961" s="1" t="s">
        <v>87</v>
      </c>
      <c r="AL961" s="1">
        <v>126</v>
      </c>
    </row>
    <row r="962" spans="1:38" x14ac:dyDescent="0.2">
      <c r="A962" s="2" t="str">
        <f>HYPERLINK("https://www.compass.com/listing/360-central-park-west-unit-5e-manhattan-ny-10025/29508828080998081/","360 Central Park W, Unit 5E")</f>
        <v>360 Central Park W, Unit 5E</v>
      </c>
      <c r="B962" s="2" t="str">
        <f t="shared" si="165"/>
        <v>360 Central Park West</v>
      </c>
      <c r="C962" s="1" t="s">
        <v>47</v>
      </c>
      <c r="D962" s="1" t="s">
        <v>41</v>
      </c>
      <c r="E962" s="3">
        <v>5040579</v>
      </c>
      <c r="F962" s="1">
        <v>1893.53080390683</v>
      </c>
      <c r="G962" s="1">
        <v>6</v>
      </c>
      <c r="H962" s="1">
        <v>4</v>
      </c>
      <c r="I962" s="1">
        <v>4</v>
      </c>
      <c r="J962" s="1">
        <v>3.5</v>
      </c>
      <c r="K962" s="1">
        <v>3</v>
      </c>
      <c r="L962" s="1">
        <v>1</v>
      </c>
      <c r="M962" s="4">
        <v>2662</v>
      </c>
      <c r="N962" s="1">
        <v>2990</v>
      </c>
      <c r="O962" s="1">
        <v>4923</v>
      </c>
      <c r="P962" s="1">
        <v>1933</v>
      </c>
      <c r="Q962" s="1" t="s">
        <v>42</v>
      </c>
      <c r="S962" s="1" t="s">
        <v>42</v>
      </c>
      <c r="T962" s="1" t="s">
        <v>203</v>
      </c>
      <c r="U962" s="1">
        <v>99</v>
      </c>
      <c r="V962" s="5">
        <v>43682</v>
      </c>
      <c r="W962" s="5">
        <v>42766</v>
      </c>
      <c r="X962" s="1">
        <v>4995000</v>
      </c>
      <c r="Y962" s="1">
        <v>4995000</v>
      </c>
      <c r="Z962" s="5">
        <v>42865</v>
      </c>
      <c r="AA962" s="1">
        <v>5040579</v>
      </c>
      <c r="AB962" s="1" t="s">
        <v>731</v>
      </c>
      <c r="AC962" s="5">
        <v>43313</v>
      </c>
      <c r="AF962" s="1">
        <v>10025</v>
      </c>
      <c r="AJ962" s="1">
        <v>1929</v>
      </c>
      <c r="AK962" s="1" t="s">
        <v>428</v>
      </c>
      <c r="AL962" s="1">
        <v>126</v>
      </c>
    </row>
    <row r="963" spans="1:38" x14ac:dyDescent="0.2">
      <c r="A963" s="2" t="str">
        <f>HYPERLINK("https://www.compass.com/listing/360-central-park-west-unit-8b-manhattan-ny-10025/15258531720629057/","360 Central Park W, Unit 8B")</f>
        <v>360 Central Park W, Unit 8B</v>
      </c>
      <c r="B963" s="2" t="str">
        <f t="shared" si="165"/>
        <v>360 Central Park West</v>
      </c>
      <c r="C963" s="1" t="s">
        <v>47</v>
      </c>
      <c r="D963" s="1" t="s">
        <v>41</v>
      </c>
      <c r="E963" s="3">
        <v>5578112</v>
      </c>
      <c r="F963" s="1">
        <v>2400.2203098106702</v>
      </c>
      <c r="G963" s="1">
        <v>5</v>
      </c>
      <c r="H963" s="1">
        <v>3</v>
      </c>
      <c r="I963" s="1">
        <v>4</v>
      </c>
      <c r="J963" s="1">
        <v>3.5</v>
      </c>
      <c r="K963" s="1">
        <v>3</v>
      </c>
      <c r="L963" s="1">
        <v>1</v>
      </c>
      <c r="M963" s="4">
        <v>2324</v>
      </c>
      <c r="N963" s="1">
        <v>2624</v>
      </c>
      <c r="O963" s="1">
        <v>4321</v>
      </c>
      <c r="P963" s="1">
        <v>1697</v>
      </c>
      <c r="Q963" s="1" t="s">
        <v>42</v>
      </c>
      <c r="S963" s="1" t="s">
        <v>42</v>
      </c>
      <c r="T963" s="1" t="s">
        <v>203</v>
      </c>
      <c r="U963" s="1">
        <v>750</v>
      </c>
      <c r="V963" s="5">
        <v>43678</v>
      </c>
      <c r="W963" s="5">
        <v>42424</v>
      </c>
      <c r="X963" s="1">
        <v>5495000</v>
      </c>
      <c r="Y963" s="1">
        <v>5495000</v>
      </c>
      <c r="Z963" s="5">
        <v>43174</v>
      </c>
      <c r="AA963" s="1">
        <v>5578112</v>
      </c>
      <c r="AB963" s="1" t="s">
        <v>732</v>
      </c>
      <c r="AC963" s="5">
        <v>43266</v>
      </c>
      <c r="AF963" s="1">
        <v>10025</v>
      </c>
      <c r="AJ963" s="1">
        <v>1929</v>
      </c>
      <c r="AK963" s="1" t="s">
        <v>428</v>
      </c>
      <c r="AL963" s="1">
        <v>126</v>
      </c>
    </row>
    <row r="964" spans="1:38" x14ac:dyDescent="0.2">
      <c r="A964" s="2" t="str">
        <f>HYPERLINK("https://www.compass.com/listing/360-central-park-west-unit-9b-manhattan-ny-10025/21730744623779425/","360 Central Park W, Unit 9B")</f>
        <v>360 Central Park W, Unit 9B</v>
      </c>
      <c r="B964" s="2" t="str">
        <f t="shared" si="165"/>
        <v>360 Central Park West</v>
      </c>
      <c r="C964" s="1" t="s">
        <v>47</v>
      </c>
      <c r="D964" s="1" t="s">
        <v>41</v>
      </c>
      <c r="E964" s="3">
        <v>5575000</v>
      </c>
      <c r="F964" s="1">
        <v>2398.8812392426798</v>
      </c>
      <c r="G964" s="1">
        <v>5</v>
      </c>
      <c r="H964" s="1">
        <v>3</v>
      </c>
      <c r="I964" s="1">
        <v>4</v>
      </c>
      <c r="J964" s="1">
        <v>3.5</v>
      </c>
      <c r="K964" s="1">
        <v>3</v>
      </c>
      <c r="L964" s="1">
        <v>1</v>
      </c>
      <c r="M964" s="4">
        <v>2324</v>
      </c>
      <c r="N964" s="1">
        <v>2625</v>
      </c>
      <c r="O964" s="1">
        <v>4322</v>
      </c>
      <c r="P964" s="1">
        <v>1697</v>
      </c>
      <c r="Q964" s="1" t="s">
        <v>42</v>
      </c>
      <c r="S964" s="1" t="s">
        <v>42</v>
      </c>
      <c r="T964" s="1" t="s">
        <v>203</v>
      </c>
      <c r="U964" s="1">
        <v>250</v>
      </c>
      <c r="V964" s="5">
        <v>43678</v>
      </c>
      <c r="W964" s="5">
        <v>42182</v>
      </c>
      <c r="X964" s="1">
        <v>5750000</v>
      </c>
      <c r="Y964" s="1">
        <v>5750000</v>
      </c>
      <c r="Z964" s="5">
        <v>42432</v>
      </c>
      <c r="AA964" s="1">
        <v>5575000</v>
      </c>
      <c r="AB964" s="1" t="s">
        <v>733</v>
      </c>
      <c r="AC964" s="5">
        <v>43279</v>
      </c>
      <c r="AF964" s="1">
        <v>10025</v>
      </c>
      <c r="AJ964" s="1">
        <v>1929</v>
      </c>
      <c r="AK964" s="1" t="s">
        <v>428</v>
      </c>
      <c r="AL964" s="1">
        <v>126</v>
      </c>
    </row>
    <row r="965" spans="1:38" x14ac:dyDescent="0.2">
      <c r="A965" s="2" t="str">
        <f>HYPERLINK("https://www.compass.com/listing/101-west-78th-street-unit-6a-manhattan-ny-10024/783284365562983513/","101 W 78th St, Unit 6A")</f>
        <v>101 W 78th St, Unit 6A</v>
      </c>
      <c r="B965" s="2" t="str">
        <f t="shared" ref="B965:B966" si="166">HYPERLINK("https://www.compass.com/building/101-w-78th-st-manhattan-ny-10024/281961405798754085/","101 W 78th St")</f>
        <v>101 W 78th St</v>
      </c>
      <c r="C965" s="1" t="s">
        <v>47</v>
      </c>
      <c r="D965" s="1" t="s">
        <v>41</v>
      </c>
      <c r="E965" s="3">
        <v>7995000</v>
      </c>
      <c r="F965" s="1">
        <v>2641.2289395440998</v>
      </c>
      <c r="G965" s="1">
        <v>5</v>
      </c>
      <c r="H965" s="1">
        <v>3</v>
      </c>
      <c r="I965" s="1">
        <v>4</v>
      </c>
      <c r="J965" s="1">
        <v>3.5</v>
      </c>
      <c r="M965" s="4">
        <v>3027</v>
      </c>
      <c r="N965" s="1">
        <v>4309</v>
      </c>
      <c r="O965" s="1">
        <v>6797</v>
      </c>
      <c r="P965" s="1">
        <v>2488</v>
      </c>
      <c r="Q965" s="1" t="s">
        <v>42</v>
      </c>
      <c r="S965" s="1" t="s">
        <v>42</v>
      </c>
      <c r="T965" s="1" t="s">
        <v>203</v>
      </c>
      <c r="V965" s="5">
        <v>43140</v>
      </c>
      <c r="W965" s="5">
        <v>42810</v>
      </c>
      <c r="X965" s="1">
        <v>7995000</v>
      </c>
      <c r="Y965" s="1">
        <v>7995000</v>
      </c>
      <c r="Z965" s="5">
        <v>42811</v>
      </c>
      <c r="AA965" s="1">
        <v>7995000</v>
      </c>
      <c r="AB965" s="1" t="s">
        <v>734</v>
      </c>
      <c r="AC965" s="5">
        <v>43138</v>
      </c>
      <c r="AF965" s="1">
        <v>10024</v>
      </c>
      <c r="AJ965" s="1">
        <v>1886</v>
      </c>
      <c r="AK965" s="1" t="s">
        <v>537</v>
      </c>
      <c r="AL965" s="1">
        <v>21</v>
      </c>
    </row>
    <row r="966" spans="1:38" x14ac:dyDescent="0.2">
      <c r="A966" s="2" t="str">
        <f>HYPERLINK("https://www.compass.com/listing/101-west-78th-street-unit-6a-manhattan-ny-10024/803372941215605705/","101 W 78th St, Unit 6A")</f>
        <v>101 W 78th St, Unit 6A</v>
      </c>
      <c r="B966" s="2" t="str">
        <f t="shared" si="166"/>
        <v>101 W 78th St</v>
      </c>
      <c r="C966" s="1" t="s">
        <v>47</v>
      </c>
      <c r="D966" s="1" t="s">
        <v>41</v>
      </c>
      <c r="E966" s="3">
        <v>7995000</v>
      </c>
      <c r="F966" s="1">
        <v>2641.2289395440998</v>
      </c>
      <c r="G966" s="1">
        <v>5</v>
      </c>
      <c r="H966" s="1">
        <v>3</v>
      </c>
      <c r="I966" s="1">
        <v>4</v>
      </c>
      <c r="J966" s="1">
        <v>3.5</v>
      </c>
      <c r="M966" s="4">
        <v>3027</v>
      </c>
      <c r="N966" s="1">
        <v>4367</v>
      </c>
      <c r="O966" s="1">
        <v>7186</v>
      </c>
      <c r="P966" s="1">
        <v>2819</v>
      </c>
      <c r="Q966" s="1" t="s">
        <v>42</v>
      </c>
      <c r="S966" s="1" t="s">
        <v>42</v>
      </c>
      <c r="T966" s="1" t="s">
        <v>203</v>
      </c>
      <c r="V966" s="5">
        <v>43208</v>
      </c>
      <c r="AA966" s="1">
        <v>7995000</v>
      </c>
      <c r="AB966" s="1" t="s">
        <v>734</v>
      </c>
      <c r="AC966" s="5">
        <v>43138</v>
      </c>
      <c r="AF966" s="1">
        <v>10024</v>
      </c>
      <c r="AJ966" s="1">
        <v>1886</v>
      </c>
      <c r="AK966" s="1" t="s">
        <v>428</v>
      </c>
      <c r="AL966" s="1">
        <v>21</v>
      </c>
    </row>
    <row r="967" spans="1:38" x14ac:dyDescent="0.2">
      <c r="A967" s="2" t="str">
        <f>HYPERLINK("https://www.compass.com/listing/111-leroy-street-unit-9-manhattan-ny-10014/744184663031161577/","111 Leroy St, Unit 9")</f>
        <v>111 Leroy St, Unit 9</v>
      </c>
      <c r="B967" s="2" t="str">
        <f>HYPERLINK("https://www.compass.com/building/111-leroy-st-manhattan-ny-10014/281921905882074869/","111 Leroy St")</f>
        <v>111 Leroy St</v>
      </c>
      <c r="C967" s="1" t="s">
        <v>68</v>
      </c>
      <c r="D967" s="1" t="s">
        <v>41</v>
      </c>
      <c r="E967" s="3">
        <v>7500000</v>
      </c>
      <c r="F967" s="1">
        <v>3086.4197530864199</v>
      </c>
      <c r="G967" s="1">
        <v>6</v>
      </c>
      <c r="H967" s="1">
        <v>3</v>
      </c>
      <c r="I967" s="1">
        <v>3</v>
      </c>
      <c r="J967" s="1">
        <v>3</v>
      </c>
      <c r="K967" s="1">
        <v>3</v>
      </c>
      <c r="M967" s="4">
        <v>2430</v>
      </c>
      <c r="N967" s="1">
        <v>3852</v>
      </c>
      <c r="O967" s="1">
        <v>7134</v>
      </c>
      <c r="P967" s="1">
        <v>3282</v>
      </c>
      <c r="Q967" s="1" t="s">
        <v>42</v>
      </c>
      <c r="S967" s="1" t="s">
        <v>42</v>
      </c>
      <c r="T967" s="1" t="s">
        <v>203</v>
      </c>
      <c r="V967" s="5">
        <v>44344</v>
      </c>
      <c r="W967" s="5">
        <v>44274</v>
      </c>
      <c r="X967" s="1">
        <v>7500000</v>
      </c>
      <c r="Y967" s="1">
        <v>7500000</v>
      </c>
      <c r="Z967" s="5">
        <v>44279</v>
      </c>
      <c r="AA967" s="1">
        <v>7500000</v>
      </c>
      <c r="AB967" s="1" t="s">
        <v>204</v>
      </c>
      <c r="AC967" s="5">
        <v>44340</v>
      </c>
      <c r="AF967" s="1">
        <v>10014</v>
      </c>
      <c r="AI967" s="1" t="s">
        <v>76</v>
      </c>
      <c r="AJ967" s="1">
        <v>2019</v>
      </c>
      <c r="AK967" s="1" t="s">
        <v>121</v>
      </c>
      <c r="AL967" s="1">
        <v>13</v>
      </c>
    </row>
    <row r="968" spans="1:38" x14ac:dyDescent="0.2">
      <c r="A968" s="2" t="str">
        <f>HYPERLINK("https://www.compass.com/listing/360-central-park-west-unit-8e-manhattan-ny-10025/29508829397935745/","360 Central Park W, Unit 8E")</f>
        <v>360 Central Park W, Unit 8E</v>
      </c>
      <c r="B968" s="2" t="str">
        <f t="shared" ref="B968:B969" si="167">HYPERLINK("https://www.compass.com/building/360-central-park-west-manhattan-ny/281971555427243781/","360 Central Park West")</f>
        <v>360 Central Park West</v>
      </c>
      <c r="C968" s="1" t="s">
        <v>47</v>
      </c>
      <c r="D968" s="1" t="s">
        <v>41</v>
      </c>
      <c r="E968" s="3">
        <v>5498550</v>
      </c>
      <c r="F968" s="1">
        <v>2100.2864782276502</v>
      </c>
      <c r="G968" s="1">
        <v>6</v>
      </c>
      <c r="H968" s="1">
        <v>4</v>
      </c>
      <c r="I968" s="1">
        <v>4</v>
      </c>
      <c r="J968" s="1">
        <v>3.5</v>
      </c>
      <c r="K968" s="1">
        <v>3</v>
      </c>
      <c r="L968" s="1">
        <v>1</v>
      </c>
      <c r="M968" s="4">
        <v>2618</v>
      </c>
      <c r="N968" s="1">
        <v>2989</v>
      </c>
      <c r="O968" s="1">
        <v>4922</v>
      </c>
      <c r="P968" s="1">
        <v>1933</v>
      </c>
      <c r="Q968" s="1" t="s">
        <v>42</v>
      </c>
      <c r="S968" s="1" t="s">
        <v>42</v>
      </c>
      <c r="T968" s="1" t="s">
        <v>203</v>
      </c>
      <c r="U968" s="1">
        <v>27</v>
      </c>
      <c r="V968" s="5">
        <v>43678</v>
      </c>
      <c r="W968" s="5">
        <v>42865</v>
      </c>
      <c r="X968" s="1">
        <v>5300000</v>
      </c>
      <c r="Y968" s="1">
        <v>5400000</v>
      </c>
      <c r="Z968" s="5">
        <v>42892</v>
      </c>
      <c r="AA968" s="1">
        <v>5498550</v>
      </c>
      <c r="AB968" s="1" t="s">
        <v>735</v>
      </c>
      <c r="AC968" s="5">
        <v>43488</v>
      </c>
      <c r="AF968" s="1">
        <v>10025</v>
      </c>
      <c r="AJ968" s="1">
        <v>1929</v>
      </c>
      <c r="AK968" s="1" t="s">
        <v>428</v>
      </c>
      <c r="AL968" s="1">
        <v>126</v>
      </c>
    </row>
    <row r="969" spans="1:38" x14ac:dyDescent="0.2">
      <c r="A969" s="2" t="str">
        <f>HYPERLINK("https://www.compass.com/listing/360-central-park-west-unit-14h-manhattan-ny-10025/29508830421345953/","360 Central Park W, Unit 14H")</f>
        <v>360 Central Park W, Unit 14H</v>
      </c>
      <c r="B969" s="2" t="str">
        <f t="shared" si="167"/>
        <v>360 Central Park West</v>
      </c>
      <c r="C969" s="1" t="s">
        <v>47</v>
      </c>
      <c r="D969" s="1" t="s">
        <v>41</v>
      </c>
      <c r="E969" s="3">
        <v>5854938</v>
      </c>
      <c r="F969" s="1">
        <v>1990.7983679020699</v>
      </c>
      <c r="G969" s="1">
        <v>6</v>
      </c>
      <c r="H969" s="1">
        <v>4</v>
      </c>
      <c r="I969" s="1">
        <v>5</v>
      </c>
      <c r="J969" s="1">
        <v>4.5</v>
      </c>
      <c r="K969" s="1">
        <v>4</v>
      </c>
      <c r="L969" s="1">
        <v>1</v>
      </c>
      <c r="M969" s="4">
        <v>2941</v>
      </c>
      <c r="N969" s="1">
        <v>3319</v>
      </c>
      <c r="O969" s="1">
        <v>5466</v>
      </c>
      <c r="P969" s="1">
        <v>2147</v>
      </c>
      <c r="Q969" s="1" t="s">
        <v>42</v>
      </c>
      <c r="S969" s="1" t="s">
        <v>42</v>
      </c>
      <c r="T969" s="1" t="s">
        <v>203</v>
      </c>
      <c r="U969" s="1">
        <v>12</v>
      </c>
      <c r="V969" s="5">
        <v>43678</v>
      </c>
      <c r="W969" s="5">
        <v>43084</v>
      </c>
      <c r="X969" s="1">
        <v>5750000</v>
      </c>
      <c r="Y969" s="1">
        <v>5750000</v>
      </c>
      <c r="Z969" s="5">
        <v>43096</v>
      </c>
      <c r="AA969" s="1">
        <v>5854938</v>
      </c>
      <c r="AB969" s="1" t="s">
        <v>736</v>
      </c>
      <c r="AC969" s="5">
        <v>43489</v>
      </c>
      <c r="AF969" s="1">
        <v>10025</v>
      </c>
      <c r="AJ969" s="1">
        <v>1929</v>
      </c>
      <c r="AK969" s="1" t="s">
        <v>87</v>
      </c>
      <c r="AL969" s="1">
        <v>126</v>
      </c>
    </row>
    <row r="970" spans="1:38" x14ac:dyDescent="0.2">
      <c r="A970" s="2" t="str">
        <f>HYPERLINK("https://www.compass.com/listing/225-west-86th-street-unit-815a-manhattan-ny-10024/130337223613656273/","225 W 86th St, Unit 815A")</f>
        <v>225 W 86th St, Unit 815A</v>
      </c>
      <c r="B970" s="2" t="str">
        <f>HYPERLINK("https://www.compass.com/building/the-belnord-manhattan-ny/292869672083214101/","The Belnord")</f>
        <v>The Belnord</v>
      </c>
      <c r="C970" s="1" t="s">
        <v>47</v>
      </c>
      <c r="D970" s="1" t="s">
        <v>41</v>
      </c>
      <c r="E970" s="3">
        <v>701999</v>
      </c>
      <c r="F970" s="1">
        <v>1435.5807770961101</v>
      </c>
      <c r="G970" s="1">
        <v>3</v>
      </c>
      <c r="H970" s="1">
        <v>1</v>
      </c>
      <c r="I970" s="1">
        <v>1</v>
      </c>
      <c r="J970" s="1">
        <v>1</v>
      </c>
      <c r="K970" s="1">
        <v>1</v>
      </c>
      <c r="M970" s="1">
        <v>489</v>
      </c>
      <c r="N970" s="1">
        <v>424</v>
      </c>
      <c r="O970" s="1">
        <v>1086</v>
      </c>
      <c r="P970" s="1">
        <v>662</v>
      </c>
      <c r="Q970" s="1" t="s">
        <v>42</v>
      </c>
      <c r="S970" s="1" t="s">
        <v>42</v>
      </c>
      <c r="T970" s="1" t="s">
        <v>203</v>
      </c>
      <c r="V970" s="5">
        <v>43648</v>
      </c>
      <c r="W970" s="5">
        <v>43432</v>
      </c>
      <c r="X970" s="1">
        <v>1150000</v>
      </c>
      <c r="Y970" s="1">
        <v>1150000</v>
      </c>
      <c r="Z970" s="5">
        <v>43432</v>
      </c>
      <c r="AA970" s="1">
        <v>701999</v>
      </c>
      <c r="AB970" s="1" t="s">
        <v>204</v>
      </c>
      <c r="AC970" s="5">
        <v>43564</v>
      </c>
      <c r="AF970" s="1">
        <v>10024</v>
      </c>
      <c r="AI970" s="1" t="s">
        <v>67</v>
      </c>
      <c r="AJ970" s="1">
        <v>1908</v>
      </c>
      <c r="AK970" s="1" t="s">
        <v>81</v>
      </c>
      <c r="AL970" s="1">
        <v>213</v>
      </c>
    </row>
    <row r="971" spans="1:38" x14ac:dyDescent="0.2">
      <c r="A971" s="2" t="str">
        <f>HYPERLINK("https://www.compass.com/listing/32-east-1st-street-unit-5b-manhattan-ny-10003/29515145063491585/","32 E 1st St, Unit 5B")</f>
        <v>32 E 1st St, Unit 5B</v>
      </c>
      <c r="B971" s="2" t="str">
        <f>HYPERLINK("https://www.compass.com/building/32-east-1st-street-manhattan-ny/292783157810310133/","32 East 1st Street")</f>
        <v>32 East 1st Street</v>
      </c>
      <c r="C971" s="1" t="s">
        <v>88</v>
      </c>
      <c r="D971" s="1" t="s">
        <v>41</v>
      </c>
      <c r="E971" s="3">
        <v>1552831</v>
      </c>
      <c r="F971" s="1">
        <v>2668.0949312714702</v>
      </c>
      <c r="G971" s="1">
        <v>3</v>
      </c>
      <c r="H971" s="1">
        <v>1</v>
      </c>
      <c r="I971" s="1">
        <v>1</v>
      </c>
      <c r="J971" s="1">
        <v>1</v>
      </c>
      <c r="K971" s="1">
        <v>1</v>
      </c>
      <c r="M971" s="1">
        <v>582</v>
      </c>
      <c r="N971" s="1">
        <v>769</v>
      </c>
      <c r="O971" s="1">
        <v>1610</v>
      </c>
      <c r="P971" s="1">
        <v>841</v>
      </c>
      <c r="Q971" s="1" t="s">
        <v>42</v>
      </c>
      <c r="S971" s="1" t="s">
        <v>42</v>
      </c>
      <c r="T971" s="1" t="s">
        <v>203</v>
      </c>
      <c r="U971" s="1">
        <v>174</v>
      </c>
      <c r="V971" s="5">
        <v>43600</v>
      </c>
      <c r="W971" s="5">
        <v>42956</v>
      </c>
      <c r="X971" s="1">
        <v>1525000</v>
      </c>
      <c r="Y971" s="1">
        <v>1525000</v>
      </c>
      <c r="Z971" s="5">
        <v>43131</v>
      </c>
      <c r="AA971" s="1">
        <v>1552831.25</v>
      </c>
      <c r="AB971" s="1" t="s">
        <v>737</v>
      </c>
      <c r="AC971" s="5">
        <v>43591</v>
      </c>
      <c r="AF971" s="1">
        <v>10003</v>
      </c>
      <c r="AI971" s="1" t="s">
        <v>45</v>
      </c>
      <c r="AJ971" s="1">
        <v>2019</v>
      </c>
      <c r="AK971" s="1" t="s">
        <v>55</v>
      </c>
      <c r="AL971" s="1">
        <v>30</v>
      </c>
    </row>
    <row r="972" spans="1:38" x14ac:dyDescent="0.2">
      <c r="A972" s="2" t="str">
        <f>HYPERLINK("https://www.compass.com/listing/101-west-78th-street-unit-5b-manhattan-ny-10024/803395419841358873/","101 W 78th St, Unit 5B")</f>
        <v>101 W 78th St, Unit 5B</v>
      </c>
      <c r="B972" s="2" t="str">
        <f>HYPERLINK("https://www.compass.com/building/101-w-78th-st-manhattan-ny-10024/281961405798754085/","101 W 78th St")</f>
        <v>101 W 78th St</v>
      </c>
      <c r="C972" s="1" t="s">
        <v>47</v>
      </c>
      <c r="D972" s="1" t="s">
        <v>41</v>
      </c>
      <c r="E972" s="3">
        <v>10200000</v>
      </c>
      <c r="F972" s="1">
        <v>2278.3113692204602</v>
      </c>
      <c r="G972" s="1">
        <v>8</v>
      </c>
      <c r="H972" s="1">
        <v>5</v>
      </c>
      <c r="I972" s="1">
        <v>5</v>
      </c>
      <c r="J972" s="1">
        <v>4.5</v>
      </c>
      <c r="M972" s="4">
        <v>4477</v>
      </c>
      <c r="N972" s="1">
        <v>6459</v>
      </c>
      <c r="O972" s="1">
        <v>10628</v>
      </c>
      <c r="P972" s="1">
        <v>4169</v>
      </c>
      <c r="Q972" s="1" t="s">
        <v>42</v>
      </c>
      <c r="S972" s="1" t="s">
        <v>42</v>
      </c>
      <c r="T972" s="1" t="s">
        <v>203</v>
      </c>
      <c r="V972" s="5">
        <v>43208</v>
      </c>
      <c r="AA972" s="1">
        <v>10200000</v>
      </c>
      <c r="AB972" s="1" t="s">
        <v>738</v>
      </c>
      <c r="AC972" s="5">
        <v>43132</v>
      </c>
      <c r="AF972" s="1">
        <v>10024</v>
      </c>
      <c r="AJ972" s="1">
        <v>1886</v>
      </c>
      <c r="AK972" s="1" t="s">
        <v>428</v>
      </c>
      <c r="AL972" s="1">
        <v>21</v>
      </c>
    </row>
    <row r="973" spans="1:38" x14ac:dyDescent="0.2">
      <c r="A973" s="2" t="str">
        <f>HYPERLINK("https://www.compass.com/listing/360-central-park-west-unit-8h-manhattan-ny-10025/29399274529779457/","360 Central Park W, Unit 8H")</f>
        <v>360 Central Park W, Unit 8H</v>
      </c>
      <c r="B973" s="2" t="str">
        <f t="shared" ref="B973:B974" si="168">HYPERLINK("https://www.compass.com/building/360-central-park-west-manhattan-ny/281971555427243781/","360 Central Park West")</f>
        <v>360 Central Park West</v>
      </c>
      <c r="C973" s="1" t="s">
        <v>47</v>
      </c>
      <c r="D973" s="1" t="s">
        <v>41</v>
      </c>
      <c r="E973" s="3">
        <v>5221405</v>
      </c>
      <c r="F973" s="1">
        <v>1775.3842230533801</v>
      </c>
      <c r="G973" s="1">
        <v>7</v>
      </c>
      <c r="H973" s="1">
        <v>4</v>
      </c>
      <c r="I973" s="1">
        <v>5</v>
      </c>
      <c r="J973" s="1">
        <v>4.5</v>
      </c>
      <c r="K973" s="1">
        <v>4</v>
      </c>
      <c r="L973" s="1">
        <v>1</v>
      </c>
      <c r="M973" s="4">
        <v>2941</v>
      </c>
      <c r="N973" s="1">
        <v>3319</v>
      </c>
      <c r="O973" s="1">
        <v>5465</v>
      </c>
      <c r="P973" s="1">
        <v>2146</v>
      </c>
      <c r="Q973" s="1" t="s">
        <v>42</v>
      </c>
      <c r="S973" s="1" t="s">
        <v>42</v>
      </c>
      <c r="T973" s="1" t="s">
        <v>203</v>
      </c>
      <c r="U973" s="1">
        <v>245</v>
      </c>
      <c r="V973" s="5">
        <v>43678</v>
      </c>
      <c r="W973" s="5">
        <v>42196</v>
      </c>
      <c r="X973" s="1">
        <v>5395000</v>
      </c>
      <c r="Y973" s="1">
        <v>5285000</v>
      </c>
      <c r="Z973" s="5">
        <v>42441</v>
      </c>
      <c r="AA973" s="1">
        <v>5221405</v>
      </c>
      <c r="AB973" s="1" t="s">
        <v>739</v>
      </c>
      <c r="AC973" s="5">
        <v>43185</v>
      </c>
      <c r="AF973" s="1">
        <v>10025</v>
      </c>
      <c r="AI973" s="1" t="s">
        <v>348</v>
      </c>
      <c r="AJ973" s="1">
        <v>1929</v>
      </c>
      <c r="AK973" s="1" t="s">
        <v>87</v>
      </c>
      <c r="AL973" s="1">
        <v>126</v>
      </c>
    </row>
    <row r="974" spans="1:38" x14ac:dyDescent="0.2">
      <c r="A974" s="2" t="str">
        <f>HYPERLINK("https://www.compass.com/listing/360-central-park-west-unit-4b-manhattan-ny-10025/803462451161041065/","360 Central Park W, Unit 4B")</f>
        <v>360 Central Park W, Unit 4B</v>
      </c>
      <c r="B974" s="2" t="str">
        <f t="shared" si="168"/>
        <v>360 Central Park West</v>
      </c>
      <c r="C974" s="1" t="s">
        <v>47</v>
      </c>
      <c r="D974" s="1" t="s">
        <v>41</v>
      </c>
      <c r="E974" s="3">
        <v>5086159</v>
      </c>
      <c r="F974" s="1">
        <v>2091.3481702302602</v>
      </c>
      <c r="G974" s="1">
        <v>6</v>
      </c>
      <c r="H974" s="1">
        <v>4</v>
      </c>
      <c r="I974" s="1">
        <v>5</v>
      </c>
      <c r="J974" s="1">
        <v>4.5</v>
      </c>
      <c r="K974" s="1">
        <v>4</v>
      </c>
      <c r="L974" s="1">
        <v>1</v>
      </c>
      <c r="M974" s="4">
        <v>2432</v>
      </c>
      <c r="N974" s="1">
        <v>2746</v>
      </c>
      <c r="O974" s="1">
        <v>4522</v>
      </c>
      <c r="P974" s="1">
        <v>1776</v>
      </c>
      <c r="Q974" s="1" t="s">
        <v>42</v>
      </c>
      <c r="S974" s="1" t="s">
        <v>42</v>
      </c>
      <c r="T974" s="1" t="s">
        <v>203</v>
      </c>
      <c r="U974" s="1">
        <v>705</v>
      </c>
      <c r="V974" s="5">
        <v>43678</v>
      </c>
      <c r="W974" s="5">
        <v>42452</v>
      </c>
      <c r="X974" s="1">
        <v>4995000</v>
      </c>
      <c r="Y974" s="1">
        <v>4995000</v>
      </c>
      <c r="AA974" s="1">
        <v>5086158.75</v>
      </c>
      <c r="AB974" s="1" t="s">
        <v>740</v>
      </c>
      <c r="AC974" s="5">
        <v>43157</v>
      </c>
      <c r="AF974" s="1">
        <v>10025</v>
      </c>
      <c r="AI974" s="1" t="s">
        <v>348</v>
      </c>
      <c r="AJ974" s="1">
        <v>1929</v>
      </c>
      <c r="AK974" s="1" t="s">
        <v>87</v>
      </c>
      <c r="AL974" s="1">
        <v>126</v>
      </c>
    </row>
    <row r="975" spans="1:38" x14ac:dyDescent="0.2">
      <c r="A975" s="2" t="str">
        <f>HYPERLINK("https://www.compass.com/listing/101-west-78th-street-unit-5a-manhattan-ny-10024/24641796181099841/","101 W 78th St, Unit 5A")</f>
        <v>101 W 78th St, Unit 5A</v>
      </c>
      <c r="B975" s="2" t="str">
        <f t="shared" ref="B975:B976" si="169">HYPERLINK("https://www.compass.com/building/101-w-78th-st-manhattan-ny-10024/281961405798754085/","101 W 78th St")</f>
        <v>101 W 78th St</v>
      </c>
      <c r="C975" s="1" t="s">
        <v>47</v>
      </c>
      <c r="D975" s="1" t="s">
        <v>41</v>
      </c>
      <c r="E975" s="3">
        <v>11858188</v>
      </c>
      <c r="F975" s="1">
        <v>2460.2049792531102</v>
      </c>
      <c r="G975" s="1">
        <v>8</v>
      </c>
      <c r="H975" s="1">
        <v>5</v>
      </c>
      <c r="I975" s="1">
        <v>5</v>
      </c>
      <c r="J975" s="1">
        <v>4.5</v>
      </c>
      <c r="M975" s="4">
        <v>4820</v>
      </c>
      <c r="N975" s="1">
        <v>6954</v>
      </c>
      <c r="O975" s="1">
        <v>11443</v>
      </c>
      <c r="P975" s="1">
        <v>4489</v>
      </c>
      <c r="Q975" s="1" t="s">
        <v>42</v>
      </c>
      <c r="S975" s="1" t="s">
        <v>42</v>
      </c>
      <c r="T975" s="1" t="s">
        <v>203</v>
      </c>
      <c r="U975" s="1">
        <v>378</v>
      </c>
      <c r="V975" s="5">
        <v>43624</v>
      </c>
      <c r="W975" s="5">
        <v>42769</v>
      </c>
      <c r="X975" s="1">
        <v>12695000</v>
      </c>
      <c r="Y975" s="1">
        <v>12695000</v>
      </c>
      <c r="Z975" s="5">
        <v>43246</v>
      </c>
      <c r="AA975" s="1">
        <v>11858188</v>
      </c>
      <c r="AB975" s="1" t="s">
        <v>741</v>
      </c>
      <c r="AC975" s="5">
        <v>43279</v>
      </c>
      <c r="AF975" s="1">
        <v>10024</v>
      </c>
      <c r="AJ975" s="1">
        <v>1886</v>
      </c>
      <c r="AK975" s="1" t="s">
        <v>537</v>
      </c>
      <c r="AL975" s="1">
        <v>21</v>
      </c>
    </row>
    <row r="976" spans="1:38" x14ac:dyDescent="0.2">
      <c r="A976" s="2" t="str">
        <f>HYPERLINK("https://www.compass.com/listing/101-west-78th-street-unit-3a-manhattan-ny-10024/29394204069286689/","101 W 78th St, Unit 3A")</f>
        <v>101 W 78th St, Unit 3A</v>
      </c>
      <c r="B976" s="2" t="str">
        <f t="shared" si="169"/>
        <v>101 W 78th St</v>
      </c>
      <c r="C976" s="1" t="s">
        <v>47</v>
      </c>
      <c r="D976" s="1" t="s">
        <v>41</v>
      </c>
      <c r="E976" s="3">
        <v>10500000</v>
      </c>
      <c r="F976" s="1">
        <v>2592.5925925925899</v>
      </c>
      <c r="G976" s="1">
        <v>7</v>
      </c>
      <c r="H976" s="1">
        <v>4</v>
      </c>
      <c r="I976" s="1">
        <v>4</v>
      </c>
      <c r="J976" s="1">
        <v>3.5</v>
      </c>
      <c r="M976" s="4">
        <v>4050</v>
      </c>
      <c r="N976" s="1">
        <v>5843</v>
      </c>
      <c r="O976" s="1">
        <v>9615</v>
      </c>
      <c r="P976" s="1">
        <v>3772</v>
      </c>
      <c r="Q976" s="1" t="s">
        <v>42</v>
      </c>
      <c r="S976" s="1" t="s">
        <v>42</v>
      </c>
      <c r="T976" s="1" t="s">
        <v>203</v>
      </c>
      <c r="U976" s="1">
        <v>38</v>
      </c>
      <c r="V976" s="5">
        <v>43626</v>
      </c>
      <c r="W976" s="5">
        <v>43123</v>
      </c>
      <c r="X976" s="1">
        <v>10995000</v>
      </c>
      <c r="Y976" s="1">
        <v>10995000</v>
      </c>
      <c r="Z976" s="5">
        <v>43246</v>
      </c>
      <c r="AA976" s="1">
        <v>10500000</v>
      </c>
      <c r="AB976" s="1" t="s">
        <v>742</v>
      </c>
      <c r="AC976" s="5">
        <v>43269</v>
      </c>
      <c r="AF976" s="1">
        <v>10024</v>
      </c>
      <c r="AJ976" s="1">
        <v>1886</v>
      </c>
      <c r="AK976" s="1" t="s">
        <v>537</v>
      </c>
      <c r="AL976" s="1">
        <v>21</v>
      </c>
    </row>
    <row r="977" spans="1:38" x14ac:dyDescent="0.2">
      <c r="A977" s="2" t="str">
        <f>HYPERLINK("https://www.compass.com/listing/275-west-10th-street-unit-5c-manhattan-ny-10014/29368593279893761/","275 W 10th St, Unit 5C")</f>
        <v>275 W 10th St, Unit 5C</v>
      </c>
      <c r="B977" s="2" t="str">
        <f t="shared" ref="B977:B978" si="170">HYPERLINK("https://www.compass.com/building/the-shephard-manhattan-ny/281931968864632917/","The Shephard")</f>
        <v>The Shephard</v>
      </c>
      <c r="C977" s="1" t="s">
        <v>68</v>
      </c>
      <c r="D977" s="1" t="s">
        <v>41</v>
      </c>
      <c r="E977" s="3">
        <v>9200000</v>
      </c>
      <c r="F977" s="1">
        <v>2935.5456285896598</v>
      </c>
      <c r="G977" s="1">
        <v>7</v>
      </c>
      <c r="H977" s="1">
        <v>3</v>
      </c>
      <c r="I977" s="1">
        <v>4</v>
      </c>
      <c r="J977" s="1">
        <v>3.5</v>
      </c>
      <c r="M977" s="4">
        <v>3134</v>
      </c>
      <c r="N977" s="1">
        <v>2880</v>
      </c>
      <c r="O977" s="1">
        <v>6652</v>
      </c>
      <c r="P977" s="1">
        <v>3772</v>
      </c>
      <c r="Q977" s="1" t="s">
        <v>42</v>
      </c>
      <c r="S977" s="1" t="s">
        <v>42</v>
      </c>
      <c r="T977" s="1" t="s">
        <v>203</v>
      </c>
      <c r="V977" s="5">
        <v>43694</v>
      </c>
      <c r="W977" s="5">
        <v>42794</v>
      </c>
      <c r="X977" s="1">
        <v>9700000</v>
      </c>
      <c r="Y977" s="1">
        <v>9700000</v>
      </c>
      <c r="Z977" s="5">
        <v>42794</v>
      </c>
      <c r="AA977" s="1">
        <v>9200000</v>
      </c>
      <c r="AB977" s="1" t="s">
        <v>722</v>
      </c>
      <c r="AC977" s="5">
        <v>42905</v>
      </c>
      <c r="AF977" s="1">
        <v>10014</v>
      </c>
      <c r="AI977" s="1" t="s">
        <v>67</v>
      </c>
      <c r="AJ977" s="1">
        <v>2015</v>
      </c>
      <c r="AK977" s="1" t="s">
        <v>55</v>
      </c>
      <c r="AL977" s="1">
        <v>38</v>
      </c>
    </row>
    <row r="978" spans="1:38" x14ac:dyDescent="0.2">
      <c r="A978" s="2" t="str">
        <f>HYPERLINK("https://www.compass.com/listing/275-west-10th-street-unit-9b-manhattan-ny-10014/29368598724100481/","275 W 10th St, Unit 9B")</f>
        <v>275 W 10th St, Unit 9B</v>
      </c>
      <c r="B978" s="2" t="str">
        <f t="shared" si="170"/>
        <v>The Shephard</v>
      </c>
      <c r="C978" s="1" t="s">
        <v>68</v>
      </c>
      <c r="D978" s="1" t="s">
        <v>41</v>
      </c>
      <c r="E978" s="3">
        <v>9724288</v>
      </c>
      <c r="F978" s="1">
        <v>3363.6416464890999</v>
      </c>
      <c r="G978" s="1">
        <v>5</v>
      </c>
      <c r="H978" s="1">
        <v>3</v>
      </c>
      <c r="I978" s="1">
        <v>4</v>
      </c>
      <c r="J978" s="1">
        <v>3.5</v>
      </c>
      <c r="M978" s="4">
        <v>2891</v>
      </c>
      <c r="N978" s="1">
        <v>2662</v>
      </c>
      <c r="O978" s="1">
        <v>6148</v>
      </c>
      <c r="P978" s="1">
        <v>3486</v>
      </c>
      <c r="Q978" s="1" t="s">
        <v>42</v>
      </c>
      <c r="S978" s="1" t="s">
        <v>42</v>
      </c>
      <c r="T978" s="1" t="s">
        <v>203</v>
      </c>
      <c r="V978" s="5">
        <v>43684</v>
      </c>
      <c r="W978" s="5">
        <v>42368</v>
      </c>
      <c r="X978" s="1">
        <v>9550000</v>
      </c>
      <c r="Y978" s="1">
        <v>9550000</v>
      </c>
      <c r="Z978" s="5">
        <v>42368</v>
      </c>
      <c r="AA978" s="1">
        <v>9724288</v>
      </c>
      <c r="AB978" s="1" t="s">
        <v>723</v>
      </c>
      <c r="AC978" s="5">
        <v>42790</v>
      </c>
      <c r="AF978" s="1">
        <v>10014</v>
      </c>
      <c r="AI978" s="1" t="s">
        <v>67</v>
      </c>
      <c r="AJ978" s="1">
        <v>2015</v>
      </c>
      <c r="AK978" s="1" t="s">
        <v>87</v>
      </c>
      <c r="AL978" s="1">
        <v>38</v>
      </c>
    </row>
    <row r="979" spans="1:38" x14ac:dyDescent="0.2">
      <c r="A979" s="2" t="str">
        <f>HYPERLINK("https://www.compass.com/listing/360-central-park-west-unit-8b-manhattan-ny-10025/803408608368576153/","360 Central Park W, Unit 8B")</f>
        <v>360 Central Park W, Unit 8B</v>
      </c>
      <c r="B979" s="2" t="str">
        <f t="shared" ref="B979:B980" si="171">HYPERLINK("https://www.compass.com/building/360-central-park-west-manhattan-ny/281971555427243781/","360 Central Park West")</f>
        <v>360 Central Park West</v>
      </c>
      <c r="C979" s="1" t="s">
        <v>47</v>
      </c>
      <c r="D979" s="1" t="s">
        <v>41</v>
      </c>
      <c r="E979" s="3">
        <v>5578112</v>
      </c>
      <c r="F979" s="1">
        <v>2400.22025817555</v>
      </c>
      <c r="G979" s="1">
        <v>5</v>
      </c>
      <c r="H979" s="1">
        <v>3</v>
      </c>
      <c r="I979" s="1">
        <v>4</v>
      </c>
      <c r="J979" s="1">
        <v>3.5</v>
      </c>
      <c r="M979" s="4">
        <v>2324</v>
      </c>
      <c r="N979" s="1">
        <v>2624</v>
      </c>
      <c r="O979" s="1">
        <v>4321</v>
      </c>
      <c r="P979" s="1">
        <v>1697</v>
      </c>
      <c r="Q979" s="1" t="s">
        <v>42</v>
      </c>
      <c r="S979" s="1" t="s">
        <v>42</v>
      </c>
      <c r="T979" s="1" t="s">
        <v>203</v>
      </c>
      <c r="U979" s="1">
        <v>20</v>
      </c>
      <c r="V979" s="5">
        <v>43173</v>
      </c>
      <c r="W979" s="5">
        <v>42423</v>
      </c>
      <c r="X979" s="1">
        <v>5495000</v>
      </c>
      <c r="Y979" s="1">
        <v>5495000</v>
      </c>
      <c r="Z979" s="5">
        <v>42444</v>
      </c>
      <c r="AA979" s="1">
        <v>5578111.8799999999</v>
      </c>
      <c r="AB979" s="1" t="s">
        <v>732</v>
      </c>
      <c r="AC979" s="5">
        <v>43265</v>
      </c>
      <c r="AF979" s="1">
        <v>10025</v>
      </c>
      <c r="AJ979" s="1">
        <v>1929</v>
      </c>
      <c r="AK979" s="1" t="s">
        <v>428</v>
      </c>
      <c r="AL979" s="1">
        <v>126</v>
      </c>
    </row>
    <row r="980" spans="1:38" x14ac:dyDescent="0.2">
      <c r="A980" s="2" t="str">
        <f>HYPERLINK("https://www.compass.com/listing/360-central-park-west-unit-9b-manhattan-ny-10025/803432592220825289/","360 Central Park W, Unit 9B")</f>
        <v>360 Central Park W, Unit 9B</v>
      </c>
      <c r="B980" s="2" t="str">
        <f t="shared" si="171"/>
        <v>360 Central Park West</v>
      </c>
      <c r="C980" s="1" t="s">
        <v>47</v>
      </c>
      <c r="D980" s="1" t="s">
        <v>41</v>
      </c>
      <c r="E980" s="3">
        <v>5575000</v>
      </c>
      <c r="F980" s="1">
        <v>2398.8812392426798</v>
      </c>
      <c r="G980" s="1">
        <v>5</v>
      </c>
      <c r="H980" s="1">
        <v>3</v>
      </c>
      <c r="I980" s="1">
        <v>4</v>
      </c>
      <c r="J980" s="1">
        <v>3.5</v>
      </c>
      <c r="M980" s="4">
        <v>2324</v>
      </c>
      <c r="N980" s="1">
        <v>2625</v>
      </c>
      <c r="O980" s="1">
        <v>4322</v>
      </c>
      <c r="P980" s="1">
        <v>1697</v>
      </c>
      <c r="Q980" s="1" t="s">
        <v>42</v>
      </c>
      <c r="S980" s="1" t="s">
        <v>42</v>
      </c>
      <c r="T980" s="1" t="s">
        <v>203</v>
      </c>
      <c r="U980" s="1">
        <v>250</v>
      </c>
      <c r="V980" s="5">
        <v>43173</v>
      </c>
      <c r="W980" s="5">
        <v>42181</v>
      </c>
      <c r="X980" s="1">
        <v>5750000</v>
      </c>
      <c r="Y980" s="1">
        <v>5750000</v>
      </c>
      <c r="Z980" s="5">
        <v>42432</v>
      </c>
      <c r="AA980" s="1">
        <v>5575000</v>
      </c>
      <c r="AB980" s="1" t="s">
        <v>733</v>
      </c>
      <c r="AC980" s="5">
        <v>43279</v>
      </c>
      <c r="AF980" s="1">
        <v>10025</v>
      </c>
      <c r="AJ980" s="1">
        <v>1929</v>
      </c>
      <c r="AK980" s="1" t="s">
        <v>428</v>
      </c>
      <c r="AL980" s="1">
        <v>126</v>
      </c>
    </row>
    <row r="981" spans="1:38" x14ac:dyDescent="0.2">
      <c r="A981" s="2" t="str">
        <f>HYPERLINK("https://www.compass.com/listing/32-east-1st-street-unit-4b-manhattan-ny-10003/29515146372155505/","32 E 1st St, Unit 4B")</f>
        <v>32 E 1st St, Unit 4B</v>
      </c>
      <c r="B981" s="2" t="str">
        <f t="shared" ref="B981:B982" si="172">HYPERLINK("https://www.compass.com/building/32-east-1st-street-manhattan-ny/292783157810310133/","32 East 1st Street")</f>
        <v>32 East 1st Street</v>
      </c>
      <c r="C981" s="1" t="s">
        <v>88</v>
      </c>
      <c r="D981" s="1" t="s">
        <v>41</v>
      </c>
      <c r="E981" s="3">
        <v>1501918</v>
      </c>
      <c r="F981" s="1">
        <v>2580.6151202749102</v>
      </c>
      <c r="G981" s="1">
        <v>3</v>
      </c>
      <c r="H981" s="1">
        <v>1</v>
      </c>
      <c r="I981" s="1">
        <v>1</v>
      </c>
      <c r="J981" s="1">
        <v>1</v>
      </c>
      <c r="K981" s="1">
        <v>1</v>
      </c>
      <c r="M981" s="1">
        <v>582</v>
      </c>
      <c r="N981" s="1">
        <v>748</v>
      </c>
      <c r="O981" s="1">
        <v>1565</v>
      </c>
      <c r="P981" s="1">
        <v>817</v>
      </c>
      <c r="Q981" s="1" t="s">
        <v>42</v>
      </c>
      <c r="S981" s="1" t="s">
        <v>42</v>
      </c>
      <c r="T981" s="1" t="s">
        <v>203</v>
      </c>
      <c r="U981" s="1">
        <v>150</v>
      </c>
      <c r="V981" s="5">
        <v>43636</v>
      </c>
      <c r="W981" s="5">
        <v>43053</v>
      </c>
      <c r="X981" s="1">
        <v>1475000</v>
      </c>
      <c r="Y981" s="1">
        <v>1475000</v>
      </c>
      <c r="Z981" s="5">
        <v>43203</v>
      </c>
      <c r="AA981" s="1">
        <v>1501918</v>
      </c>
      <c r="AB981" s="1" t="s">
        <v>743</v>
      </c>
      <c r="AC981" s="5">
        <v>43589</v>
      </c>
      <c r="AF981" s="1">
        <v>10003</v>
      </c>
      <c r="AI981" s="1" t="s">
        <v>45</v>
      </c>
      <c r="AJ981" s="1">
        <v>2019</v>
      </c>
      <c r="AK981" s="1" t="s">
        <v>55</v>
      </c>
      <c r="AL981" s="1">
        <v>30</v>
      </c>
    </row>
    <row r="982" spans="1:38" x14ac:dyDescent="0.2">
      <c r="A982" s="2" t="str">
        <f>HYPERLINK("https://www.compass.com/listing/32-east-1st-street-unit-3b-manhattan-ny-10003/29515148326660241/","32 E 1st St, Unit 3B")</f>
        <v>32 E 1st St, Unit 3B</v>
      </c>
      <c r="B982" s="2" t="str">
        <f t="shared" si="172"/>
        <v>32 East 1st Street</v>
      </c>
      <c r="C982" s="1" t="s">
        <v>88</v>
      </c>
      <c r="D982" s="1" t="s">
        <v>41</v>
      </c>
      <c r="E982" s="3">
        <v>1475000</v>
      </c>
      <c r="F982" s="1">
        <v>2534.3642611683799</v>
      </c>
      <c r="G982" s="1">
        <v>3</v>
      </c>
      <c r="H982" s="1">
        <v>1</v>
      </c>
      <c r="I982" s="1">
        <v>1</v>
      </c>
      <c r="J982" s="1">
        <v>1</v>
      </c>
      <c r="K982" s="1">
        <v>1</v>
      </c>
      <c r="M982" s="1">
        <v>582</v>
      </c>
      <c r="N982" s="1">
        <v>727</v>
      </c>
      <c r="O982" s="1">
        <v>1522</v>
      </c>
      <c r="P982" s="1">
        <v>795</v>
      </c>
      <c r="Q982" s="1" t="s">
        <v>42</v>
      </c>
      <c r="S982" s="1" t="s">
        <v>42</v>
      </c>
      <c r="T982" s="1" t="s">
        <v>203</v>
      </c>
      <c r="U982" s="1">
        <v>21</v>
      </c>
      <c r="V982" s="5">
        <v>43636</v>
      </c>
      <c r="W982" s="5">
        <v>43231</v>
      </c>
      <c r="X982" s="1">
        <v>1475000</v>
      </c>
      <c r="Y982" s="1">
        <v>1475000</v>
      </c>
      <c r="Z982" s="5">
        <v>43252</v>
      </c>
      <c r="AA982" s="1">
        <v>1475000</v>
      </c>
      <c r="AB982" s="1" t="s">
        <v>744</v>
      </c>
      <c r="AC982" s="5">
        <v>43577</v>
      </c>
      <c r="AF982" s="1">
        <v>10003</v>
      </c>
      <c r="AI982" s="1" t="s">
        <v>45</v>
      </c>
      <c r="AJ982" s="1">
        <v>2019</v>
      </c>
      <c r="AK982" s="1" t="s">
        <v>55</v>
      </c>
      <c r="AL982" s="1">
        <v>30</v>
      </c>
    </row>
    <row r="983" spans="1:38" x14ac:dyDescent="0.2">
      <c r="A983" s="2" t="str">
        <f>HYPERLINK("https://www.compass.com/listing/111-leroy-street-unit-8-manhattan-ny-10014/345491584327511089/","111 Leroy St, Unit 8")</f>
        <v>111 Leroy St, Unit 8</v>
      </c>
      <c r="B983" s="2" t="str">
        <f>HYPERLINK("https://www.compass.com/building/111-leroy-st-manhattan-ny-10014/281921905882074869/","111 Leroy St")</f>
        <v>111 Leroy St</v>
      </c>
      <c r="C983" s="1" t="s">
        <v>68</v>
      </c>
      <c r="D983" s="1" t="s">
        <v>41</v>
      </c>
      <c r="E983" s="3">
        <v>5180000</v>
      </c>
      <c r="F983" s="1">
        <v>2131.6872427983499</v>
      </c>
      <c r="G983" s="1">
        <v>5</v>
      </c>
      <c r="H983" s="1">
        <v>3</v>
      </c>
      <c r="I983" s="1">
        <v>4</v>
      </c>
      <c r="J983" s="1">
        <v>3.5</v>
      </c>
      <c r="K983" s="1">
        <v>3</v>
      </c>
      <c r="L983" s="1">
        <v>1</v>
      </c>
      <c r="M983" s="4">
        <v>2430</v>
      </c>
      <c r="N983" s="1">
        <v>3085</v>
      </c>
      <c r="O983" s="1">
        <v>6308</v>
      </c>
      <c r="P983" s="1">
        <v>3223</v>
      </c>
      <c r="Q983" s="1" t="s">
        <v>42</v>
      </c>
      <c r="S983" s="1" t="s">
        <v>42</v>
      </c>
      <c r="T983" s="1" t="s">
        <v>203</v>
      </c>
      <c r="U983" s="1">
        <v>463</v>
      </c>
      <c r="V983" s="5">
        <v>44314</v>
      </c>
      <c r="W983" s="5">
        <v>43727</v>
      </c>
      <c r="X983" s="1">
        <v>5995000</v>
      </c>
      <c r="Y983" s="1">
        <v>5995000</v>
      </c>
      <c r="AA983" s="1">
        <v>5180000</v>
      </c>
      <c r="AB983" s="1" t="s">
        <v>745</v>
      </c>
      <c r="AC983" s="5">
        <v>44284</v>
      </c>
      <c r="AF983" s="1">
        <v>10014</v>
      </c>
      <c r="AI983" s="1" t="s">
        <v>76</v>
      </c>
      <c r="AJ983" s="1">
        <v>2019</v>
      </c>
      <c r="AK983" s="1" t="s">
        <v>81</v>
      </c>
      <c r="AL983" s="1">
        <v>13</v>
      </c>
    </row>
    <row r="984" spans="1:38" x14ac:dyDescent="0.2">
      <c r="A984" s="2" t="str">
        <f>HYPERLINK("https://www.compass.com/listing/360-central-park-west-unit-12a-manhattan-ny-10025/29508827795734545/","360 Central Park W, Unit 12A")</f>
        <v>360 Central Park W, Unit 12A</v>
      </c>
      <c r="B984" s="2" t="str">
        <f t="shared" ref="B984:B989" si="173">HYPERLINK("https://www.compass.com/building/360-central-park-west-manhattan-ny/281971555427243781/","360 Central Park West")</f>
        <v>360 Central Park West</v>
      </c>
      <c r="C984" s="1" t="s">
        <v>47</v>
      </c>
      <c r="D984" s="1" t="s">
        <v>41</v>
      </c>
      <c r="E984" s="3">
        <v>9164250</v>
      </c>
      <c r="F984" s="1">
        <v>2566.2979557546901</v>
      </c>
      <c r="G984" s="1">
        <v>7</v>
      </c>
      <c r="H984" s="1">
        <v>4</v>
      </c>
      <c r="I984" s="1">
        <v>5</v>
      </c>
      <c r="J984" s="1">
        <v>4.5</v>
      </c>
      <c r="K984" s="1">
        <v>4</v>
      </c>
      <c r="L984" s="1">
        <v>1</v>
      </c>
      <c r="M984" s="4">
        <v>3571</v>
      </c>
      <c r="N984" s="1">
        <v>4011</v>
      </c>
      <c r="O984" s="1">
        <v>6604</v>
      </c>
      <c r="P984" s="1">
        <v>2593</v>
      </c>
      <c r="Q984" s="1" t="s">
        <v>42</v>
      </c>
      <c r="S984" s="1" t="s">
        <v>42</v>
      </c>
      <c r="T984" s="1" t="s">
        <v>203</v>
      </c>
      <c r="U984" s="1">
        <v>3</v>
      </c>
      <c r="V984" s="5">
        <v>43694</v>
      </c>
      <c r="W984" s="5">
        <v>42480</v>
      </c>
      <c r="X984" s="1">
        <v>9500000</v>
      </c>
      <c r="Y984" s="1">
        <v>9500000</v>
      </c>
      <c r="Z984" s="5">
        <v>42483</v>
      </c>
      <c r="AA984" s="1">
        <v>9164250</v>
      </c>
      <c r="AB984" s="1" t="s">
        <v>746</v>
      </c>
      <c r="AC984" s="5">
        <v>43398</v>
      </c>
      <c r="AF984" s="1">
        <v>10025</v>
      </c>
      <c r="AJ984" s="1">
        <v>1929</v>
      </c>
      <c r="AK984" s="1" t="s">
        <v>428</v>
      </c>
      <c r="AL984" s="1">
        <v>126</v>
      </c>
    </row>
    <row r="985" spans="1:38" x14ac:dyDescent="0.2">
      <c r="A985" s="2" t="str">
        <f>HYPERLINK("https://www.compass.com/listing/360-central-park-west-unit-14b-manhattan-ny-10025/29399277725876401/","360 Central Park W, Unit 14B")</f>
        <v>360 Central Park W, Unit 14B</v>
      </c>
      <c r="B985" s="2" t="str">
        <f t="shared" si="173"/>
        <v>360 Central Park West</v>
      </c>
      <c r="C985" s="1" t="s">
        <v>47</v>
      </c>
      <c r="D985" s="1" t="s">
        <v>41</v>
      </c>
      <c r="E985" s="3">
        <v>6414975</v>
      </c>
      <c r="F985" s="1">
        <v>2760.3162650602399</v>
      </c>
      <c r="G985" s="1">
        <v>5</v>
      </c>
      <c r="H985" s="1">
        <v>3</v>
      </c>
      <c r="I985" s="1">
        <v>4</v>
      </c>
      <c r="J985" s="1">
        <v>3.5</v>
      </c>
      <c r="K985" s="1">
        <v>3</v>
      </c>
      <c r="L985" s="1">
        <v>1</v>
      </c>
      <c r="M985" s="4">
        <v>2324</v>
      </c>
      <c r="N985" s="1">
        <v>2624</v>
      </c>
      <c r="O985" s="1">
        <v>4321</v>
      </c>
      <c r="P985" s="1">
        <v>1697</v>
      </c>
      <c r="Q985" s="1" t="s">
        <v>42</v>
      </c>
      <c r="S985" s="1" t="s">
        <v>42</v>
      </c>
      <c r="T985" s="1" t="s">
        <v>203</v>
      </c>
      <c r="V985" s="5">
        <v>43678</v>
      </c>
      <c r="W985" s="5">
        <v>42287</v>
      </c>
      <c r="X985" s="1">
        <v>6300000</v>
      </c>
      <c r="Y985" s="1">
        <v>6300000</v>
      </c>
      <c r="Z985" s="5">
        <v>42287</v>
      </c>
      <c r="AA985" s="1">
        <v>6414975</v>
      </c>
      <c r="AB985" s="1" t="s">
        <v>747</v>
      </c>
      <c r="AC985" s="5">
        <v>43194</v>
      </c>
      <c r="AF985" s="1">
        <v>10025</v>
      </c>
      <c r="AJ985" s="1">
        <v>1929</v>
      </c>
      <c r="AK985" s="1" t="s">
        <v>428</v>
      </c>
      <c r="AL985" s="1">
        <v>126</v>
      </c>
    </row>
    <row r="986" spans="1:38" x14ac:dyDescent="0.2">
      <c r="A986" s="2" t="str">
        <f>HYPERLINK("https://www.compass.com/listing/360-central-park-west-unit-10b-manhattan-ny-10025/29508828752035889/","360 Central Park W, Unit 10B")</f>
        <v>360 Central Park W, Unit 10B</v>
      </c>
      <c r="B986" s="2" t="str">
        <f t="shared" si="173"/>
        <v>360 Central Park West</v>
      </c>
      <c r="C986" s="1" t="s">
        <v>47</v>
      </c>
      <c r="D986" s="1" t="s">
        <v>41</v>
      </c>
      <c r="E986" s="3">
        <v>6465888</v>
      </c>
      <c r="F986" s="1">
        <v>2782.2237521514598</v>
      </c>
      <c r="G986" s="1">
        <v>5</v>
      </c>
      <c r="H986" s="1">
        <v>3</v>
      </c>
      <c r="I986" s="1">
        <v>4</v>
      </c>
      <c r="J986" s="1">
        <v>3.5</v>
      </c>
      <c r="K986" s="1">
        <v>3</v>
      </c>
      <c r="L986" s="1">
        <v>1</v>
      </c>
      <c r="M986" s="4">
        <v>2324</v>
      </c>
      <c r="N986" s="1">
        <v>2625</v>
      </c>
      <c r="O986" s="1">
        <v>4322</v>
      </c>
      <c r="P986" s="1">
        <v>1697</v>
      </c>
      <c r="Q986" s="1" t="s">
        <v>42</v>
      </c>
      <c r="S986" s="1" t="s">
        <v>42</v>
      </c>
      <c r="T986" s="1" t="s">
        <v>203</v>
      </c>
      <c r="U986" s="1">
        <v>17</v>
      </c>
      <c r="V986" s="5">
        <v>43678</v>
      </c>
      <c r="W986" s="5">
        <v>42767</v>
      </c>
      <c r="X986" s="1">
        <v>5895000</v>
      </c>
      <c r="Y986" s="1">
        <v>6350000</v>
      </c>
      <c r="Z986" s="5">
        <v>42784</v>
      </c>
      <c r="AA986" s="1">
        <v>6465888</v>
      </c>
      <c r="AB986" s="1" t="s">
        <v>748</v>
      </c>
      <c r="AC986" s="5">
        <v>43350</v>
      </c>
      <c r="AF986" s="1">
        <v>10025</v>
      </c>
      <c r="AJ986" s="1">
        <v>1929</v>
      </c>
      <c r="AK986" s="1" t="s">
        <v>428</v>
      </c>
      <c r="AL986" s="1">
        <v>126</v>
      </c>
    </row>
    <row r="987" spans="1:38" x14ac:dyDescent="0.2">
      <c r="A987" s="2" t="str">
        <f>HYPERLINK("https://www.compass.com/listing/360-central-park-west-unit-14b-manhattan-ny-10025/803393843353183537/","360 Central Park W, Unit 14B")</f>
        <v>360 Central Park W, Unit 14B</v>
      </c>
      <c r="B987" s="2" t="str">
        <f t="shared" si="173"/>
        <v>360 Central Park West</v>
      </c>
      <c r="C987" s="1" t="s">
        <v>47</v>
      </c>
      <c r="D987" s="1" t="s">
        <v>41</v>
      </c>
      <c r="E987" s="3">
        <v>6414975</v>
      </c>
      <c r="F987" s="1">
        <v>2760.3162650602399</v>
      </c>
      <c r="G987" s="1">
        <v>5</v>
      </c>
      <c r="H987" s="1">
        <v>3</v>
      </c>
      <c r="I987" s="1">
        <v>4</v>
      </c>
      <c r="J987" s="1">
        <v>3.5</v>
      </c>
      <c r="M987" s="4">
        <v>2324</v>
      </c>
      <c r="N987" s="1">
        <v>2624</v>
      </c>
      <c r="O987" s="1">
        <v>4321</v>
      </c>
      <c r="P987" s="1">
        <v>1697</v>
      </c>
      <c r="Q987" s="1" t="s">
        <v>42</v>
      </c>
      <c r="S987" s="1" t="s">
        <v>42</v>
      </c>
      <c r="T987" s="1" t="s">
        <v>203</v>
      </c>
      <c r="V987" s="5">
        <v>43173</v>
      </c>
      <c r="W987" s="5">
        <v>42285</v>
      </c>
      <c r="X987" s="1">
        <v>6300000</v>
      </c>
      <c r="Y987" s="1">
        <v>6300000</v>
      </c>
      <c r="Z987" s="5">
        <v>42286</v>
      </c>
      <c r="AA987" s="1">
        <v>6414975</v>
      </c>
      <c r="AB987" s="1" t="s">
        <v>747</v>
      </c>
      <c r="AC987" s="5">
        <v>43194</v>
      </c>
      <c r="AF987" s="1">
        <v>10025</v>
      </c>
      <c r="AJ987" s="1">
        <v>1929</v>
      </c>
      <c r="AK987" s="1" t="s">
        <v>428</v>
      </c>
      <c r="AL987" s="1">
        <v>126</v>
      </c>
    </row>
    <row r="988" spans="1:38" x14ac:dyDescent="0.2">
      <c r="A988" s="2" t="str">
        <f>HYPERLINK("https://www.compass.com/listing/360-central-park-west-unit-4b-manhattan-ny-10025/29399270989841377/","360 Central Park W, Unit 4B")</f>
        <v>360 Central Park W, Unit 4B</v>
      </c>
      <c r="B988" s="2" t="str">
        <f t="shared" si="173"/>
        <v>360 Central Park West</v>
      </c>
      <c r="C988" s="1" t="s">
        <v>47</v>
      </c>
      <c r="D988" s="1" t="s">
        <v>41</v>
      </c>
      <c r="E988" s="3">
        <v>5086159</v>
      </c>
      <c r="F988" s="1">
        <v>2091.3482730263099</v>
      </c>
      <c r="G988" s="1">
        <v>6</v>
      </c>
      <c r="H988" s="1">
        <v>4</v>
      </c>
      <c r="I988" s="1">
        <v>5</v>
      </c>
      <c r="J988" s="1">
        <v>4.5</v>
      </c>
      <c r="M988" s="4">
        <v>2432</v>
      </c>
      <c r="N988" s="1">
        <v>2746</v>
      </c>
      <c r="O988" s="1">
        <v>4522</v>
      </c>
      <c r="P988" s="1">
        <v>1776</v>
      </c>
      <c r="Q988" s="1" t="s">
        <v>42</v>
      </c>
      <c r="S988" s="1" t="s">
        <v>42</v>
      </c>
      <c r="T988" s="1" t="s">
        <v>203</v>
      </c>
      <c r="U988" s="1">
        <v>35</v>
      </c>
      <c r="V988" s="5">
        <v>43677</v>
      </c>
      <c r="W988" s="5">
        <v>42453</v>
      </c>
      <c r="X988" s="1">
        <v>4995000</v>
      </c>
      <c r="Y988" s="1">
        <v>4995000</v>
      </c>
      <c r="Z988" s="5">
        <v>42488</v>
      </c>
      <c r="AA988" s="1">
        <v>5086159</v>
      </c>
      <c r="AB988" s="1" t="s">
        <v>740</v>
      </c>
      <c r="AC988" s="5">
        <v>43158</v>
      </c>
      <c r="AF988" s="1">
        <v>10025</v>
      </c>
      <c r="AI988" s="1" t="s">
        <v>348</v>
      </c>
      <c r="AJ988" s="1">
        <v>1929</v>
      </c>
      <c r="AK988" s="1" t="s">
        <v>87</v>
      </c>
      <c r="AL988" s="1">
        <v>126</v>
      </c>
    </row>
    <row r="989" spans="1:38" x14ac:dyDescent="0.2">
      <c r="A989" s="2" t="str">
        <f>HYPERLINK("https://www.compass.com/listing/360-central-park-west-unit-8h-manhattan-ny-10025/801615745389480921/","360 Central Park W, Unit 8H")</f>
        <v>360 Central Park W, Unit 8H</v>
      </c>
      <c r="B989" s="2" t="str">
        <f t="shared" si="173"/>
        <v>360 Central Park West</v>
      </c>
      <c r="C989" s="1" t="s">
        <v>47</v>
      </c>
      <c r="D989" s="1" t="s">
        <v>41</v>
      </c>
      <c r="E989" s="3">
        <v>5221405</v>
      </c>
      <c r="F989" s="1">
        <v>1775.3842230533801</v>
      </c>
      <c r="G989" s="1">
        <v>7</v>
      </c>
      <c r="H989" s="1">
        <v>4</v>
      </c>
      <c r="I989" s="1">
        <v>5</v>
      </c>
      <c r="J989" s="1">
        <v>4.5</v>
      </c>
      <c r="M989" s="4">
        <v>2941</v>
      </c>
      <c r="N989" s="1">
        <v>3319</v>
      </c>
      <c r="O989" s="1">
        <v>5465</v>
      </c>
      <c r="P989" s="1">
        <v>2146</v>
      </c>
      <c r="Q989" s="1" t="s">
        <v>42</v>
      </c>
      <c r="S989" s="1" t="s">
        <v>42</v>
      </c>
      <c r="T989" s="1" t="s">
        <v>203</v>
      </c>
      <c r="U989" s="1">
        <v>244</v>
      </c>
      <c r="V989" s="5">
        <v>43173</v>
      </c>
      <c r="W989" s="5">
        <v>42195</v>
      </c>
      <c r="X989" s="1">
        <v>5395000</v>
      </c>
      <c r="Y989" s="1">
        <v>5285000</v>
      </c>
      <c r="Z989" s="5">
        <v>42440</v>
      </c>
      <c r="AA989" s="1">
        <v>5221405</v>
      </c>
      <c r="AB989" s="1" t="s">
        <v>739</v>
      </c>
      <c r="AC989" s="5">
        <v>43185</v>
      </c>
      <c r="AF989" s="1">
        <v>10025</v>
      </c>
      <c r="AI989" s="1" t="s">
        <v>348</v>
      </c>
      <c r="AJ989" s="1">
        <v>1929</v>
      </c>
      <c r="AK989" s="1" t="s">
        <v>87</v>
      </c>
      <c r="AL989" s="1">
        <v>126</v>
      </c>
    </row>
    <row r="990" spans="1:38" x14ac:dyDescent="0.2">
      <c r="A990" s="2" t="str">
        <f>HYPERLINK("https://www.compass.com/listing/101-west-78th-street-unit-5b-manhattan-ny-10024/783031897834554889/","101 W 78th St, Unit 5B")</f>
        <v>101 W 78th St, Unit 5B</v>
      </c>
      <c r="B990" s="2" t="str">
        <f>HYPERLINK("https://www.compass.com/building/101-w-78th-st-manhattan-ny-10024/281961405798754085/","101 W 78th St")</f>
        <v>101 W 78th St</v>
      </c>
      <c r="C990" s="1" t="s">
        <v>47</v>
      </c>
      <c r="D990" s="1" t="s">
        <v>41</v>
      </c>
      <c r="E990" s="3">
        <v>10200000</v>
      </c>
      <c r="F990" s="1">
        <v>2278.3113692204602</v>
      </c>
      <c r="G990" s="1">
        <v>8</v>
      </c>
      <c r="H990" s="1">
        <v>5</v>
      </c>
      <c r="I990" s="1">
        <v>5</v>
      </c>
      <c r="J990" s="1">
        <v>4.5</v>
      </c>
      <c r="M990" s="4">
        <v>4477</v>
      </c>
      <c r="N990" s="1">
        <v>6373</v>
      </c>
      <c r="O990" s="1">
        <v>10053</v>
      </c>
      <c r="P990" s="1">
        <v>3680</v>
      </c>
      <c r="Q990" s="1" t="s">
        <v>42</v>
      </c>
      <c r="S990" s="1" t="s">
        <v>42</v>
      </c>
      <c r="T990" s="1" t="s">
        <v>203</v>
      </c>
      <c r="U990" s="1">
        <v>82</v>
      </c>
      <c r="V990" s="5">
        <v>43137</v>
      </c>
      <c r="W990" s="5">
        <v>42767</v>
      </c>
      <c r="X990" s="1">
        <v>10795000</v>
      </c>
      <c r="Y990" s="1">
        <v>10795000</v>
      </c>
      <c r="Z990" s="5">
        <v>42850</v>
      </c>
      <c r="AA990" s="1">
        <v>10200000</v>
      </c>
      <c r="AB990" s="1" t="s">
        <v>738</v>
      </c>
      <c r="AC990" s="5">
        <v>43132</v>
      </c>
      <c r="AF990" s="1">
        <v>10024</v>
      </c>
      <c r="AJ990" s="1">
        <v>1886</v>
      </c>
      <c r="AK990" s="1" t="s">
        <v>537</v>
      </c>
      <c r="AL990" s="1">
        <v>21</v>
      </c>
    </row>
    <row r="991" spans="1:38" x14ac:dyDescent="0.2">
      <c r="A991" s="2" t="str">
        <f>HYPERLINK("https://www.compass.com/listing/32-east-1st-street-unit-6e-manhattan-ny-10003/177530541233427425/","32 E 1st St, Unit 6E")</f>
        <v>32 E 1st St, Unit 6E</v>
      </c>
      <c r="B991" s="2" t="str">
        <f>HYPERLINK("https://www.compass.com/building/32-east-1st-street-manhattan-ny/292783157810310133/","32 East 1st Street")</f>
        <v>32 East 1st Street</v>
      </c>
      <c r="C991" s="1" t="s">
        <v>88</v>
      </c>
      <c r="D991" s="1" t="s">
        <v>41</v>
      </c>
      <c r="E991" s="3">
        <v>1237174</v>
      </c>
      <c r="F991" s="1">
        <v>2556.1441115702401</v>
      </c>
      <c r="G991" s="1">
        <v>3</v>
      </c>
      <c r="H991" s="1">
        <v>1</v>
      </c>
      <c r="I991" s="1">
        <v>1</v>
      </c>
      <c r="J991" s="1">
        <v>1</v>
      </c>
      <c r="K991" s="1">
        <v>1</v>
      </c>
      <c r="M991" s="1">
        <v>484</v>
      </c>
      <c r="N991" s="1">
        <v>634</v>
      </c>
      <c r="O991" s="1">
        <v>1351</v>
      </c>
      <c r="P991" s="1">
        <v>717</v>
      </c>
      <c r="Q991" s="1" t="s">
        <v>42</v>
      </c>
      <c r="S991" s="1" t="s">
        <v>42</v>
      </c>
      <c r="T991" s="1" t="s">
        <v>203</v>
      </c>
      <c r="U991" s="1">
        <v>121</v>
      </c>
      <c r="V991" s="5">
        <v>43698</v>
      </c>
      <c r="W991" s="5">
        <v>43496</v>
      </c>
      <c r="X991" s="1">
        <v>1300000</v>
      </c>
      <c r="Y991" s="1">
        <v>1300000</v>
      </c>
      <c r="Z991" s="5">
        <v>43497</v>
      </c>
      <c r="AA991" s="1">
        <v>1237173.75</v>
      </c>
      <c r="AB991" s="1" t="s">
        <v>749</v>
      </c>
      <c r="AC991" s="5">
        <v>43739</v>
      </c>
      <c r="AF991" s="1">
        <v>10003</v>
      </c>
      <c r="AI991" s="1" t="s">
        <v>45</v>
      </c>
      <c r="AJ991" s="1">
        <v>2019</v>
      </c>
      <c r="AK991" s="1" t="s">
        <v>55</v>
      </c>
      <c r="AL991" s="1">
        <v>30</v>
      </c>
    </row>
    <row r="992" spans="1:38" x14ac:dyDescent="0.2">
      <c r="A992" s="2" t="str">
        <f>HYPERLINK("https://www.compass.com/listing/111-leroy-street-unit-5-manhattan-ny-10014/199137113663444929/","111 Leroy St, Unit 5")</f>
        <v>111 Leroy St, Unit 5</v>
      </c>
      <c r="B992" s="2" t="str">
        <f>HYPERLINK("https://www.compass.com/building/111-leroy-st-manhattan-ny-10014/281921905882074869/","111 Leroy St")</f>
        <v>111 Leroy St</v>
      </c>
      <c r="C992" s="1" t="s">
        <v>68</v>
      </c>
      <c r="D992" s="1" t="s">
        <v>41</v>
      </c>
      <c r="E992" s="3">
        <v>9750000</v>
      </c>
      <c r="F992" s="1">
        <v>2893.1750741839701</v>
      </c>
      <c r="G992" s="1">
        <v>6</v>
      </c>
      <c r="H992" s="1">
        <v>4</v>
      </c>
      <c r="I992" s="1">
        <v>5</v>
      </c>
      <c r="J992" s="1">
        <v>4.5</v>
      </c>
      <c r="K992" s="1">
        <v>4</v>
      </c>
      <c r="L992" s="1">
        <v>1</v>
      </c>
      <c r="M992" s="4">
        <v>3370</v>
      </c>
      <c r="N992" s="1">
        <v>3945</v>
      </c>
      <c r="O992" s="1">
        <v>8220</v>
      </c>
      <c r="P992" s="1">
        <v>4275</v>
      </c>
      <c r="Q992" s="1" t="s">
        <v>42</v>
      </c>
      <c r="S992" s="1" t="s">
        <v>42</v>
      </c>
      <c r="T992" s="1" t="s">
        <v>203</v>
      </c>
      <c r="U992" s="1">
        <v>4</v>
      </c>
      <c r="V992" s="5">
        <v>44314</v>
      </c>
      <c r="W992" s="5">
        <v>43522</v>
      </c>
      <c r="Y992" s="1">
        <v>9750000</v>
      </c>
      <c r="Z992" s="5">
        <v>43527</v>
      </c>
      <c r="AA992" s="1">
        <v>9750000</v>
      </c>
      <c r="AB992" s="1" t="s">
        <v>204</v>
      </c>
      <c r="AC992" s="5">
        <v>44278</v>
      </c>
      <c r="AF992" s="1">
        <v>10014</v>
      </c>
      <c r="AI992" s="1" t="s">
        <v>76</v>
      </c>
      <c r="AJ992" s="1">
        <v>2019</v>
      </c>
      <c r="AK992" s="1" t="s">
        <v>81</v>
      </c>
      <c r="AL992" s="1">
        <v>13</v>
      </c>
    </row>
    <row r="993" spans="1:38" x14ac:dyDescent="0.2">
      <c r="A993" s="2" t="str">
        <f>HYPERLINK("https://www.compass.com/listing/225-west-86th-street-unit-614-manhattan-ny-10024/97028006303869921/","225 W 86th St, Unit 614")</f>
        <v>225 W 86th St, Unit 614</v>
      </c>
      <c r="B993" s="2" t="str">
        <f>HYPERLINK("https://www.compass.com/building/the-belnord-manhattan-ny/292869672083214101/","The Belnord")</f>
        <v>The Belnord</v>
      </c>
      <c r="C993" s="1" t="s">
        <v>47</v>
      </c>
      <c r="D993" s="1" t="s">
        <v>41</v>
      </c>
      <c r="E993" s="3">
        <v>3029366</v>
      </c>
      <c r="F993" s="1">
        <v>1350.58671422202</v>
      </c>
      <c r="G993" s="1">
        <v>7</v>
      </c>
      <c r="H993" s="1">
        <v>3</v>
      </c>
      <c r="I993" s="1">
        <v>3</v>
      </c>
      <c r="J993" s="1">
        <v>2.5</v>
      </c>
      <c r="K993" s="1">
        <v>2</v>
      </c>
      <c r="L993" s="1">
        <v>1</v>
      </c>
      <c r="M993" s="4">
        <v>2243</v>
      </c>
      <c r="N993" s="1">
        <v>2292</v>
      </c>
      <c r="O993" s="1">
        <v>5868</v>
      </c>
      <c r="P993" s="1">
        <v>3576</v>
      </c>
      <c r="Q993" s="1" t="s">
        <v>42</v>
      </c>
      <c r="S993" s="1" t="s">
        <v>42</v>
      </c>
      <c r="T993" s="1" t="s">
        <v>203</v>
      </c>
      <c r="U993" s="1">
        <v>32</v>
      </c>
      <c r="V993" s="5">
        <v>43648</v>
      </c>
      <c r="W993" s="5">
        <v>43280</v>
      </c>
      <c r="X993" s="1">
        <v>7100000</v>
      </c>
      <c r="Y993" s="1">
        <v>7100000</v>
      </c>
      <c r="Z993" s="5">
        <v>43312</v>
      </c>
      <c r="AA993" s="1">
        <v>3029366</v>
      </c>
      <c r="AB993" s="1" t="s">
        <v>750</v>
      </c>
      <c r="AC993" s="5">
        <v>43565</v>
      </c>
      <c r="AF993" s="1">
        <v>10024</v>
      </c>
      <c r="AI993" s="1" t="s">
        <v>67</v>
      </c>
      <c r="AJ993" s="1">
        <v>1908</v>
      </c>
      <c r="AK993" s="1" t="s">
        <v>81</v>
      </c>
      <c r="AL993" s="1">
        <v>213</v>
      </c>
    </row>
    <row r="994" spans="1:38" x14ac:dyDescent="0.2">
      <c r="A994" s="2" t="str">
        <f>HYPERLINK("https://www.compass.com/listing/40-bleecker-street-unit-5e-manhattan-ny-10012/134580140259797537/","40 Bleecker St, Unit 5E")</f>
        <v>40 Bleecker St, Unit 5E</v>
      </c>
      <c r="B994" s="2" t="str">
        <f>HYPERLINK("https://www.compass.com/building/40-bleecker-manhattan-ny/282058881784380757/","40 Bleecker")</f>
        <v>40 Bleecker</v>
      </c>
      <c r="C994" s="1" t="s">
        <v>92</v>
      </c>
      <c r="D994" s="1" t="s">
        <v>41</v>
      </c>
      <c r="E994" s="3">
        <v>2144391</v>
      </c>
      <c r="F994" s="1">
        <v>3063.4151857142801</v>
      </c>
      <c r="G994" s="1">
        <v>3</v>
      </c>
      <c r="H994" s="1">
        <v>1</v>
      </c>
      <c r="I994" s="1">
        <v>1</v>
      </c>
      <c r="J994" s="1">
        <v>1</v>
      </c>
      <c r="K994" s="1">
        <v>1</v>
      </c>
      <c r="M994" s="1">
        <v>700</v>
      </c>
      <c r="N994" s="1">
        <v>1010</v>
      </c>
      <c r="O994" s="1">
        <v>2203</v>
      </c>
      <c r="P994" s="1">
        <v>1193</v>
      </c>
      <c r="Q994" s="1" t="s">
        <v>42</v>
      </c>
      <c r="S994" s="1" t="s">
        <v>42</v>
      </c>
      <c r="T994" s="1" t="s">
        <v>203</v>
      </c>
      <c r="V994" s="5">
        <v>44225</v>
      </c>
      <c r="W994" s="5">
        <v>43437</v>
      </c>
      <c r="X994" s="1">
        <v>2125000</v>
      </c>
      <c r="Y994" s="1">
        <v>2125000</v>
      </c>
      <c r="Z994" s="5">
        <v>43438</v>
      </c>
      <c r="AA994" s="1">
        <v>2144390.63</v>
      </c>
      <c r="AB994" s="1" t="s">
        <v>751</v>
      </c>
      <c r="AC994" s="5">
        <v>44145</v>
      </c>
      <c r="AF994" s="1">
        <v>10012</v>
      </c>
      <c r="AI994" s="1" t="s">
        <v>58</v>
      </c>
      <c r="AJ994" s="1">
        <v>2019</v>
      </c>
      <c r="AK994" s="1" t="s">
        <v>50</v>
      </c>
      <c r="AL994" s="1">
        <v>61</v>
      </c>
    </row>
    <row r="995" spans="1:38" x14ac:dyDescent="0.2">
      <c r="A995" s="2" t="str">
        <f>HYPERLINK("https://www.compass.com/listing/101-west-78th-street-unit-ph-manhattan-ny-10024/29394207961600849/","101 W 78th St, Unit PH")</f>
        <v>101 W 78th St, Unit PH</v>
      </c>
      <c r="B995" s="2" t="str">
        <f>HYPERLINK("https://www.compass.com/building/101-w-78th-st-manhattan-ny-10024/281961405798754085/","101 W 78th St")</f>
        <v>101 W 78th St</v>
      </c>
      <c r="C995" s="1" t="s">
        <v>47</v>
      </c>
      <c r="D995" s="1" t="s">
        <v>41</v>
      </c>
      <c r="E995" s="3">
        <v>20520988</v>
      </c>
      <c r="F995" s="1">
        <v>4327.4964150147598</v>
      </c>
      <c r="G995" s="1">
        <v>7</v>
      </c>
      <c r="H995" s="1">
        <v>4</v>
      </c>
      <c r="I995" s="1">
        <v>5</v>
      </c>
      <c r="J995" s="1">
        <v>4.5</v>
      </c>
      <c r="M995" s="4">
        <v>4742</v>
      </c>
      <c r="N995" s="1">
        <v>9027</v>
      </c>
      <c r="O995" s="1">
        <v>14854</v>
      </c>
      <c r="P995" s="1">
        <v>5827</v>
      </c>
      <c r="Q995" s="1" t="s">
        <v>42</v>
      </c>
      <c r="S995" s="1" t="s">
        <v>42</v>
      </c>
      <c r="T995" s="1" t="s">
        <v>203</v>
      </c>
      <c r="U995" s="1">
        <v>67</v>
      </c>
      <c r="V995" s="5">
        <v>43677</v>
      </c>
      <c r="W995" s="5">
        <v>43014</v>
      </c>
      <c r="X995" s="1">
        <v>23500000</v>
      </c>
      <c r="Y995" s="1">
        <v>23500000</v>
      </c>
      <c r="Z995" s="5">
        <v>43081</v>
      </c>
      <c r="AA995" s="1">
        <v>20520988</v>
      </c>
      <c r="AB995" s="1" t="s">
        <v>752</v>
      </c>
      <c r="AC995" s="5">
        <v>43209</v>
      </c>
      <c r="AF995" s="1">
        <v>10024</v>
      </c>
      <c r="AI995" s="1" t="s">
        <v>753</v>
      </c>
      <c r="AJ995" s="1">
        <v>1886</v>
      </c>
      <c r="AK995" s="1" t="s">
        <v>537</v>
      </c>
      <c r="AL995" s="1">
        <v>21</v>
      </c>
    </row>
    <row r="996" spans="1:38" x14ac:dyDescent="0.2">
      <c r="A996" s="2" t="str">
        <f>HYPERLINK("https://www.compass.com/listing/40-bleecker-street-unit-2e-manhattan-ny-10012/29515236390311665/","40 Bleecker St, Unit 2E")</f>
        <v>40 Bleecker St, Unit 2E</v>
      </c>
      <c r="B996" s="2" t="str">
        <f t="shared" ref="B996:B1000" si="174">HYPERLINK("https://www.compass.com/building/40-bleecker-manhattan-ny/282058881784380757/","40 Bleecker")</f>
        <v>40 Bleecker</v>
      </c>
      <c r="C996" s="1" t="s">
        <v>92</v>
      </c>
      <c r="D996" s="1" t="s">
        <v>41</v>
      </c>
      <c r="E996" s="3">
        <v>1853215</v>
      </c>
      <c r="F996" s="1">
        <v>2647.45</v>
      </c>
      <c r="G996" s="1">
        <v>3</v>
      </c>
      <c r="H996" s="1">
        <v>1</v>
      </c>
      <c r="I996" s="1">
        <v>1</v>
      </c>
      <c r="J996" s="1">
        <v>1</v>
      </c>
      <c r="K996" s="1">
        <v>1</v>
      </c>
      <c r="M996" s="1">
        <v>700</v>
      </c>
      <c r="N996" s="1">
        <v>1010</v>
      </c>
      <c r="O996" s="1">
        <v>2203</v>
      </c>
      <c r="P996" s="1">
        <v>1193</v>
      </c>
      <c r="Q996" s="1" t="s">
        <v>42</v>
      </c>
      <c r="S996" s="1" t="s">
        <v>42</v>
      </c>
      <c r="T996" s="1" t="s">
        <v>203</v>
      </c>
      <c r="V996" s="5">
        <v>44225</v>
      </c>
      <c r="W996" s="5">
        <v>43209</v>
      </c>
      <c r="X996" s="1">
        <v>1820000</v>
      </c>
      <c r="Y996" s="1">
        <v>1820000</v>
      </c>
      <c r="Z996" s="5">
        <v>43210</v>
      </c>
      <c r="AA996" s="1">
        <v>1853215</v>
      </c>
      <c r="AB996" s="1" t="s">
        <v>754</v>
      </c>
      <c r="AC996" s="5">
        <v>44215</v>
      </c>
      <c r="AF996" s="1">
        <v>10012</v>
      </c>
      <c r="AI996" s="1" t="s">
        <v>58</v>
      </c>
      <c r="AJ996" s="1">
        <v>2019</v>
      </c>
      <c r="AK996" s="1" t="s">
        <v>50</v>
      </c>
      <c r="AL996" s="1">
        <v>61</v>
      </c>
    </row>
    <row r="997" spans="1:38" x14ac:dyDescent="0.2">
      <c r="A997" s="2" t="str">
        <f>HYPERLINK("https://www.compass.com/listing/40-bleecker-street-unit-4e-manhattan-ny-10012/29515239116568337/","40 Bleecker St, Unit 4E")</f>
        <v>40 Bleecker St, Unit 4E</v>
      </c>
      <c r="B997" s="2" t="str">
        <f t="shared" si="174"/>
        <v>40 Bleecker</v>
      </c>
      <c r="C997" s="1" t="s">
        <v>92</v>
      </c>
      <c r="D997" s="1" t="s">
        <v>41</v>
      </c>
      <c r="E997" s="3">
        <v>2061956</v>
      </c>
      <c r="F997" s="1">
        <v>2966.8435251798501</v>
      </c>
      <c r="G997" s="1">
        <v>3</v>
      </c>
      <c r="H997" s="1">
        <v>1</v>
      </c>
      <c r="I997" s="1">
        <v>1</v>
      </c>
      <c r="J997" s="1">
        <v>1</v>
      </c>
      <c r="K997" s="1">
        <v>1</v>
      </c>
      <c r="M997" s="1">
        <v>695</v>
      </c>
      <c r="N997" s="1">
        <v>1010</v>
      </c>
      <c r="O997" s="1">
        <v>2203</v>
      </c>
      <c r="P997" s="1">
        <v>1193</v>
      </c>
      <c r="Q997" s="1" t="s">
        <v>42</v>
      </c>
      <c r="S997" s="1" t="s">
        <v>42</v>
      </c>
      <c r="T997" s="1" t="s">
        <v>203</v>
      </c>
      <c r="V997" s="5">
        <v>44183</v>
      </c>
      <c r="W997" s="5">
        <v>43182</v>
      </c>
      <c r="X997" s="1">
        <v>2025000</v>
      </c>
      <c r="Y997" s="1">
        <v>2025000</v>
      </c>
      <c r="Z997" s="5">
        <v>43183</v>
      </c>
      <c r="AA997" s="1">
        <v>2061956.25</v>
      </c>
      <c r="AB997" s="1" t="s">
        <v>755</v>
      </c>
      <c r="AC997" s="5">
        <v>44173</v>
      </c>
      <c r="AF997" s="1">
        <v>10012</v>
      </c>
      <c r="AI997" s="1" t="s">
        <v>58</v>
      </c>
      <c r="AJ997" s="1">
        <v>2019</v>
      </c>
      <c r="AK997" s="1" t="s">
        <v>50</v>
      </c>
      <c r="AL997" s="1">
        <v>61</v>
      </c>
    </row>
    <row r="998" spans="1:38" x14ac:dyDescent="0.2">
      <c r="A998" s="2" t="str">
        <f>HYPERLINK("https://www.compass.com/listing/40-bleecker-street-unit-6c-manhattan-ny-10012/29515237413721873/","40 Bleecker St, Unit 6C")</f>
        <v>40 Bleecker St, Unit 6C</v>
      </c>
      <c r="B998" s="2" t="str">
        <f t="shared" si="174"/>
        <v>40 Bleecker</v>
      </c>
      <c r="C998" s="1" t="s">
        <v>92</v>
      </c>
      <c r="D998" s="1" t="s">
        <v>41</v>
      </c>
      <c r="E998" s="3">
        <v>3360225</v>
      </c>
      <c r="F998" s="1">
        <v>3074.3138151875501</v>
      </c>
      <c r="G998" s="1">
        <v>4</v>
      </c>
      <c r="H998" s="1">
        <v>2</v>
      </c>
      <c r="I998" s="1">
        <v>2</v>
      </c>
      <c r="J998" s="1">
        <v>2</v>
      </c>
      <c r="K998" s="1">
        <v>2</v>
      </c>
      <c r="M998" s="4">
        <v>1093</v>
      </c>
      <c r="N998" s="1">
        <v>1588</v>
      </c>
      <c r="O998" s="1">
        <v>3464</v>
      </c>
      <c r="P998" s="1">
        <v>1876</v>
      </c>
      <c r="Q998" s="1" t="s">
        <v>42</v>
      </c>
      <c r="S998" s="1" t="s">
        <v>42</v>
      </c>
      <c r="T998" s="1" t="s">
        <v>203</v>
      </c>
      <c r="V998" s="5">
        <v>44154</v>
      </c>
      <c r="W998" s="5">
        <v>43178</v>
      </c>
      <c r="X998" s="1">
        <v>3300000</v>
      </c>
      <c r="Y998" s="1">
        <v>3300000</v>
      </c>
      <c r="Z998" s="5">
        <v>43179</v>
      </c>
      <c r="AA998" s="1">
        <v>3360225</v>
      </c>
      <c r="AB998" s="1" t="s">
        <v>756</v>
      </c>
      <c r="AC998" s="5">
        <v>44148</v>
      </c>
      <c r="AF998" s="1">
        <v>10012</v>
      </c>
      <c r="AI998" s="1" t="s">
        <v>58</v>
      </c>
      <c r="AJ998" s="1">
        <v>2019</v>
      </c>
      <c r="AK998" s="1" t="s">
        <v>50</v>
      </c>
      <c r="AL998" s="1">
        <v>61</v>
      </c>
    </row>
    <row r="999" spans="1:38" x14ac:dyDescent="0.2">
      <c r="A999" s="2" t="str">
        <f>HYPERLINK("https://www.compass.com/listing/40-bleecker-street-unit-9c-manhattan-ny-10012/130246758348378673/","40 Bleecker St, Unit 9C")</f>
        <v>40 Bleecker St, Unit 9C</v>
      </c>
      <c r="B999" s="2" t="str">
        <f t="shared" si="174"/>
        <v>40 Bleecker</v>
      </c>
      <c r="C999" s="1" t="s">
        <v>92</v>
      </c>
      <c r="D999" s="1" t="s">
        <v>41</v>
      </c>
      <c r="E999" s="3">
        <v>3650000</v>
      </c>
      <c r="F999" s="1">
        <v>3339.4327538883799</v>
      </c>
      <c r="G999" s="1">
        <v>4</v>
      </c>
      <c r="H999" s="1">
        <v>2</v>
      </c>
      <c r="I999" s="1">
        <v>2</v>
      </c>
      <c r="J999" s="1">
        <v>2</v>
      </c>
      <c r="K999" s="1">
        <v>2</v>
      </c>
      <c r="M999" s="4">
        <v>1093</v>
      </c>
      <c r="N999" s="1">
        <v>1588</v>
      </c>
      <c r="O999" s="1">
        <v>3464</v>
      </c>
      <c r="P999" s="1">
        <v>1876</v>
      </c>
      <c r="Q999" s="1" t="s">
        <v>42</v>
      </c>
      <c r="S999" s="1" t="s">
        <v>42</v>
      </c>
      <c r="T999" s="1" t="s">
        <v>203</v>
      </c>
      <c r="V999" s="5">
        <v>44219</v>
      </c>
      <c r="W999" s="5">
        <v>43431</v>
      </c>
      <c r="X999" s="1">
        <v>3650000</v>
      </c>
      <c r="Y999" s="1">
        <v>3650000</v>
      </c>
      <c r="Z999" s="5">
        <v>43432</v>
      </c>
      <c r="AA999" s="1">
        <v>3650000</v>
      </c>
      <c r="AB999" s="1" t="s">
        <v>757</v>
      </c>
      <c r="AC999" s="5">
        <v>44215</v>
      </c>
      <c r="AF999" s="1">
        <v>10012</v>
      </c>
      <c r="AI999" s="1" t="s">
        <v>58</v>
      </c>
      <c r="AJ999" s="1">
        <v>2019</v>
      </c>
      <c r="AK999" s="1" t="s">
        <v>50</v>
      </c>
      <c r="AL999" s="1">
        <v>61</v>
      </c>
    </row>
    <row r="1000" spans="1:38" x14ac:dyDescent="0.2">
      <c r="A1000" s="2" t="str">
        <f>HYPERLINK("https://www.compass.com/listing/40-bleecker-street-unit-4c-manhattan-ny-10012/29515238445520705/","40 Bleecker St, Unit 4C")</f>
        <v>40 Bleecker St, Unit 4C</v>
      </c>
      <c r="B1000" s="2" t="str">
        <f t="shared" si="174"/>
        <v>40 Bleecker</v>
      </c>
      <c r="C1000" s="1" t="s">
        <v>92</v>
      </c>
      <c r="D1000" s="1" t="s">
        <v>41</v>
      </c>
      <c r="E1000" s="3">
        <v>3141301</v>
      </c>
      <c r="F1000" s="1">
        <v>2876.6494963369901</v>
      </c>
      <c r="G1000" s="1">
        <v>4</v>
      </c>
      <c r="H1000" s="1">
        <v>2</v>
      </c>
      <c r="I1000" s="1">
        <v>2</v>
      </c>
      <c r="J1000" s="1">
        <v>2</v>
      </c>
      <c r="K1000" s="1">
        <v>2</v>
      </c>
      <c r="M1000" s="4">
        <v>1092</v>
      </c>
      <c r="N1000" s="1">
        <v>1588</v>
      </c>
      <c r="O1000" s="1">
        <v>3464</v>
      </c>
      <c r="P1000" s="1">
        <v>1876</v>
      </c>
      <c r="Q1000" s="1" t="s">
        <v>42</v>
      </c>
      <c r="S1000" s="1" t="s">
        <v>42</v>
      </c>
      <c r="T1000" s="1" t="s">
        <v>203</v>
      </c>
      <c r="V1000" s="5">
        <v>44225</v>
      </c>
      <c r="W1000" s="5">
        <v>43185</v>
      </c>
      <c r="X1000" s="1">
        <v>3050000</v>
      </c>
      <c r="Y1000" s="1">
        <v>3050000</v>
      </c>
      <c r="Z1000" s="5">
        <v>43186</v>
      </c>
      <c r="AA1000" s="1">
        <v>3141301.25</v>
      </c>
      <c r="AB1000" s="1" t="s">
        <v>758</v>
      </c>
      <c r="AC1000" s="5">
        <v>44147</v>
      </c>
      <c r="AF1000" s="1">
        <v>10012</v>
      </c>
      <c r="AI1000" s="1" t="s">
        <v>58</v>
      </c>
      <c r="AJ1000" s="1">
        <v>2019</v>
      </c>
      <c r="AK1000" s="1" t="s">
        <v>50</v>
      </c>
      <c r="AL1000" s="1">
        <v>61</v>
      </c>
    </row>
    <row r="1001" spans="1:38" x14ac:dyDescent="0.2">
      <c r="A1001" s="2" t="str">
        <f>HYPERLINK("https://www.compass.com/listing/32-east-1st-street-unit-3e-manhattan-ny-10003/29515151346559313/","32 E 1st St, Unit 3E")</f>
        <v>32 E 1st St, Unit 3E</v>
      </c>
      <c r="B1001" s="2" t="str">
        <f t="shared" ref="B1001:B1005" si="175">HYPERLINK("https://www.compass.com/building/32-east-1st-street-manhattan-ny/292783157810310133/","32 East 1st Street")</f>
        <v>32 East 1st Street</v>
      </c>
      <c r="C1001" s="1" t="s">
        <v>88</v>
      </c>
      <c r="D1001" s="1" t="s">
        <v>41</v>
      </c>
      <c r="E1001" s="3">
        <v>995000</v>
      </c>
      <c r="F1001" s="1">
        <v>2055.7851239669399</v>
      </c>
      <c r="G1001" s="1">
        <v>3</v>
      </c>
      <c r="H1001" s="1">
        <v>1</v>
      </c>
      <c r="I1001" s="1">
        <v>1</v>
      </c>
      <c r="J1001" s="1">
        <v>1</v>
      </c>
      <c r="K1001" s="1">
        <v>1</v>
      </c>
      <c r="M1001" s="1">
        <v>484</v>
      </c>
      <c r="N1001" s="1">
        <v>605</v>
      </c>
      <c r="O1001" s="1">
        <v>1265</v>
      </c>
      <c r="P1001" s="1">
        <v>660</v>
      </c>
      <c r="Q1001" s="1" t="s">
        <v>42</v>
      </c>
      <c r="S1001" s="1" t="s">
        <v>42</v>
      </c>
      <c r="T1001" s="1" t="s">
        <v>203</v>
      </c>
      <c r="V1001" s="5">
        <v>43645</v>
      </c>
      <c r="W1001" s="5">
        <v>42993</v>
      </c>
      <c r="X1001" s="1">
        <v>1125000</v>
      </c>
      <c r="Y1001" s="1">
        <v>1125000</v>
      </c>
      <c r="Z1001" s="5">
        <v>42993</v>
      </c>
      <c r="AA1001" s="1">
        <v>995000</v>
      </c>
      <c r="AB1001" s="1" t="s">
        <v>759</v>
      </c>
      <c r="AC1001" s="5">
        <v>43553</v>
      </c>
      <c r="AF1001" s="1">
        <v>10003</v>
      </c>
      <c r="AI1001" s="1" t="s">
        <v>45</v>
      </c>
      <c r="AJ1001" s="1">
        <v>2019</v>
      </c>
      <c r="AK1001" s="1" t="s">
        <v>55</v>
      </c>
      <c r="AL1001" s="1">
        <v>30</v>
      </c>
    </row>
    <row r="1002" spans="1:38" x14ac:dyDescent="0.2">
      <c r="A1002" s="2" t="str">
        <f>HYPERLINK("https://www.compass.com/listing/32-east-1st-street-unit-2a-manhattan-ny-10003/29515144685977169/","32 E 1st St, Unit 2A")</f>
        <v>32 E 1st St, Unit 2A</v>
      </c>
      <c r="B1002" s="2" t="str">
        <f t="shared" si="175"/>
        <v>32 East 1st Street</v>
      </c>
      <c r="C1002" s="1" t="s">
        <v>88</v>
      </c>
      <c r="D1002" s="1" t="s">
        <v>41</v>
      </c>
      <c r="E1002" s="3">
        <v>2838000</v>
      </c>
      <c r="F1002" s="1">
        <v>2299.8379254457</v>
      </c>
      <c r="G1002" s="1">
        <v>4</v>
      </c>
      <c r="H1002" s="1">
        <v>2</v>
      </c>
      <c r="I1002" s="1">
        <v>2</v>
      </c>
      <c r="J1002" s="1">
        <v>2</v>
      </c>
      <c r="K1002" s="1">
        <v>2</v>
      </c>
      <c r="M1002" s="4">
        <v>1234</v>
      </c>
      <c r="N1002" s="1">
        <v>1645</v>
      </c>
      <c r="O1002" s="1">
        <v>3443</v>
      </c>
      <c r="P1002" s="1">
        <v>1798</v>
      </c>
      <c r="Q1002" s="1" t="s">
        <v>42</v>
      </c>
      <c r="S1002" s="1" t="s">
        <v>42</v>
      </c>
      <c r="T1002" s="1" t="s">
        <v>203</v>
      </c>
      <c r="U1002" s="1">
        <v>260</v>
      </c>
      <c r="V1002" s="5">
        <v>43714</v>
      </c>
      <c r="W1002" s="5">
        <v>42956</v>
      </c>
      <c r="X1002" s="1">
        <v>2900000</v>
      </c>
      <c r="Y1002" s="1">
        <v>2900000</v>
      </c>
      <c r="Z1002" s="5">
        <v>43217</v>
      </c>
      <c r="AA1002" s="1">
        <v>2838000</v>
      </c>
      <c r="AB1002" s="1" t="s">
        <v>760</v>
      </c>
      <c r="AC1002" s="5">
        <v>43592</v>
      </c>
      <c r="AF1002" s="1">
        <v>10003</v>
      </c>
      <c r="AI1002" s="1" t="s">
        <v>761</v>
      </c>
      <c r="AJ1002" s="1">
        <v>2019</v>
      </c>
      <c r="AK1002" s="1" t="s">
        <v>55</v>
      </c>
      <c r="AL1002" s="1">
        <v>30</v>
      </c>
    </row>
    <row r="1003" spans="1:38" x14ac:dyDescent="0.2">
      <c r="A1003" s="2" t="str">
        <f>HYPERLINK("https://www.compass.com/listing/32-east-1st-street-unit-4a-manhattan-ny-10003/29515145734553233/","32 E 1st St, Unit 4A")</f>
        <v>32 E 1st St, Unit 4A</v>
      </c>
      <c r="B1003" s="2" t="str">
        <f t="shared" si="175"/>
        <v>32 East 1st Street</v>
      </c>
      <c r="C1003" s="1" t="s">
        <v>88</v>
      </c>
      <c r="D1003" s="1" t="s">
        <v>41</v>
      </c>
      <c r="E1003" s="3">
        <v>2975000</v>
      </c>
      <c r="F1003" s="1">
        <v>2403.0694668820602</v>
      </c>
      <c r="G1003" s="1">
        <v>4</v>
      </c>
      <c r="H1003" s="1">
        <v>2</v>
      </c>
      <c r="I1003" s="1">
        <v>2</v>
      </c>
      <c r="J1003" s="1">
        <v>2</v>
      </c>
      <c r="K1003" s="1">
        <v>2</v>
      </c>
      <c r="M1003" s="4">
        <v>1238</v>
      </c>
      <c r="N1003" s="1">
        <v>1663</v>
      </c>
      <c r="O1003" s="1">
        <v>3481</v>
      </c>
      <c r="P1003" s="1">
        <v>1818</v>
      </c>
      <c r="Q1003" s="1" t="s">
        <v>42</v>
      </c>
      <c r="S1003" s="1" t="s">
        <v>42</v>
      </c>
      <c r="T1003" s="1" t="s">
        <v>203</v>
      </c>
      <c r="U1003" s="1">
        <v>120</v>
      </c>
      <c r="V1003" s="5">
        <v>43606</v>
      </c>
      <c r="W1003" s="5">
        <v>42956</v>
      </c>
      <c r="X1003" s="1">
        <v>2975000</v>
      </c>
      <c r="Y1003" s="1">
        <v>2975000</v>
      </c>
      <c r="Z1003" s="5">
        <v>43077</v>
      </c>
      <c r="AA1003" s="1">
        <v>2975000</v>
      </c>
      <c r="AB1003" s="1" t="s">
        <v>762</v>
      </c>
      <c r="AC1003" s="5">
        <v>43602</v>
      </c>
      <c r="AF1003" s="1">
        <v>10003</v>
      </c>
      <c r="AI1003" s="1" t="s">
        <v>45</v>
      </c>
      <c r="AJ1003" s="1">
        <v>2019</v>
      </c>
      <c r="AK1003" s="1" t="s">
        <v>55</v>
      </c>
      <c r="AL1003" s="1">
        <v>30</v>
      </c>
    </row>
    <row r="1004" spans="1:38" x14ac:dyDescent="0.2">
      <c r="A1004" s="2" t="str">
        <f>HYPERLINK("https://www.compass.com/listing/32-east-1st-street-unit-7d-manhattan-ny-10003/29515147831705313/","32 E 1st St, Unit 7D")</f>
        <v>32 E 1st St, Unit 7D</v>
      </c>
      <c r="B1004" s="2" t="str">
        <f t="shared" si="175"/>
        <v>32 East 1st Street</v>
      </c>
      <c r="C1004" s="1" t="s">
        <v>88</v>
      </c>
      <c r="D1004" s="1" t="s">
        <v>41</v>
      </c>
      <c r="E1004" s="3">
        <v>2952925</v>
      </c>
      <c r="F1004" s="1">
        <v>2711.5932047750198</v>
      </c>
      <c r="G1004" s="1">
        <v>4</v>
      </c>
      <c r="H1004" s="1">
        <v>2</v>
      </c>
      <c r="I1004" s="1">
        <v>2</v>
      </c>
      <c r="J1004" s="1">
        <v>2</v>
      </c>
      <c r="K1004" s="1">
        <v>2</v>
      </c>
      <c r="M1004" s="4">
        <v>1089</v>
      </c>
      <c r="N1004" s="1">
        <v>1519</v>
      </c>
      <c r="O1004" s="1">
        <v>3179</v>
      </c>
      <c r="P1004" s="1">
        <v>1660</v>
      </c>
      <c r="Q1004" s="1" t="s">
        <v>42</v>
      </c>
      <c r="S1004" s="1" t="s">
        <v>42</v>
      </c>
      <c r="T1004" s="1" t="s">
        <v>203</v>
      </c>
      <c r="V1004" s="5">
        <v>43697</v>
      </c>
      <c r="W1004" s="5">
        <v>42993</v>
      </c>
      <c r="X1004" s="1">
        <v>3000000</v>
      </c>
      <c r="Y1004" s="1">
        <v>3000000</v>
      </c>
      <c r="Z1004" s="5">
        <v>42993</v>
      </c>
      <c r="AA1004" s="1">
        <v>2952925</v>
      </c>
      <c r="AB1004" s="1" t="s">
        <v>763</v>
      </c>
      <c r="AC1004" s="5">
        <v>43628</v>
      </c>
      <c r="AF1004" s="1">
        <v>10003</v>
      </c>
      <c r="AI1004" s="1" t="s">
        <v>45</v>
      </c>
      <c r="AJ1004" s="1">
        <v>2019</v>
      </c>
      <c r="AK1004" s="1" t="s">
        <v>55</v>
      </c>
      <c r="AL1004" s="1">
        <v>30</v>
      </c>
    </row>
    <row r="1005" spans="1:38" x14ac:dyDescent="0.2">
      <c r="A1005" s="2" t="str">
        <f>HYPERLINK("https://www.compass.com/listing/32-east-1st-street-unit-3a-manhattan-ny-10003/29515148779686081/","32 E 1st St, Unit 3A")</f>
        <v>32 E 1st St, Unit 3A</v>
      </c>
      <c r="B1005" s="2" t="str">
        <f t="shared" si="175"/>
        <v>32 East 1st Street</v>
      </c>
      <c r="C1005" s="1" t="s">
        <v>88</v>
      </c>
      <c r="D1005" s="1" t="s">
        <v>41</v>
      </c>
      <c r="E1005" s="3">
        <v>2966381</v>
      </c>
      <c r="F1005" s="1">
        <v>2396.1076332794801</v>
      </c>
      <c r="G1005" s="1">
        <v>4</v>
      </c>
      <c r="H1005" s="1">
        <v>2</v>
      </c>
      <c r="I1005" s="1">
        <v>2</v>
      </c>
      <c r="J1005" s="1">
        <v>2</v>
      </c>
      <c r="K1005" s="1">
        <v>2</v>
      </c>
      <c r="M1005" s="4">
        <v>1238</v>
      </c>
      <c r="N1005" s="1">
        <v>1614</v>
      </c>
      <c r="O1005" s="1">
        <v>3378</v>
      </c>
      <c r="P1005" s="1">
        <v>1764</v>
      </c>
      <c r="Q1005" s="1" t="s">
        <v>42</v>
      </c>
      <c r="S1005" s="1" t="s">
        <v>42</v>
      </c>
      <c r="T1005" s="1" t="s">
        <v>203</v>
      </c>
      <c r="U1005" s="1">
        <v>197</v>
      </c>
      <c r="V1005" s="5">
        <v>43602</v>
      </c>
      <c r="W1005" s="5">
        <v>43255</v>
      </c>
      <c r="X1005" s="1">
        <v>2950000</v>
      </c>
      <c r="Y1005" s="1">
        <v>2950000</v>
      </c>
      <c r="Z1005" s="5">
        <v>43453</v>
      </c>
      <c r="AA1005" s="1">
        <v>2966381.25</v>
      </c>
      <c r="AB1005" s="1" t="s">
        <v>764</v>
      </c>
      <c r="AC1005" s="5">
        <v>43588</v>
      </c>
      <c r="AF1005" s="1">
        <v>10003</v>
      </c>
      <c r="AI1005" s="1" t="s">
        <v>761</v>
      </c>
      <c r="AJ1005" s="1">
        <v>2019</v>
      </c>
      <c r="AK1005" s="1" t="s">
        <v>55</v>
      </c>
      <c r="AL1005" s="1">
        <v>30</v>
      </c>
    </row>
    <row r="1006" spans="1:38" x14ac:dyDescent="0.2">
      <c r="A1006" s="2" t="str">
        <f>HYPERLINK("https://www.compass.com/listing/111-leroy-street-unit-4-manhattan-ny-10014/349732935027952593/","111 Leroy St, Unit 4")</f>
        <v>111 Leroy St, Unit 4</v>
      </c>
      <c r="B1006" s="2" t="str">
        <f>HYPERLINK("https://www.compass.com/building/111-leroy-st-manhattan-ny-10014/281921905882074869/","111 Leroy St")</f>
        <v>111 Leroy St</v>
      </c>
      <c r="C1006" s="1" t="s">
        <v>68</v>
      </c>
      <c r="D1006" s="1" t="s">
        <v>41</v>
      </c>
      <c r="E1006" s="3">
        <v>6800000</v>
      </c>
      <c r="F1006" s="1">
        <v>2017.80415430267</v>
      </c>
      <c r="G1006" s="1">
        <v>10.5</v>
      </c>
      <c r="H1006" s="1">
        <v>4</v>
      </c>
      <c r="I1006" s="1">
        <v>5</v>
      </c>
      <c r="J1006" s="1">
        <v>4.5</v>
      </c>
      <c r="K1006" s="1">
        <v>4</v>
      </c>
      <c r="L1006" s="1">
        <v>1</v>
      </c>
      <c r="M1006" s="4">
        <v>3370</v>
      </c>
      <c r="N1006" s="1">
        <v>3875</v>
      </c>
      <c r="O1006" s="1">
        <v>7925</v>
      </c>
      <c r="P1006" s="1">
        <v>4050</v>
      </c>
      <c r="Q1006" s="1" t="s">
        <v>42</v>
      </c>
      <c r="S1006" s="1" t="s">
        <v>42</v>
      </c>
      <c r="T1006" s="1" t="s">
        <v>203</v>
      </c>
      <c r="U1006" s="1">
        <v>373</v>
      </c>
      <c r="V1006" s="5">
        <v>44323</v>
      </c>
      <c r="W1006" s="5">
        <v>43742</v>
      </c>
      <c r="Z1006" s="5">
        <v>44210</v>
      </c>
      <c r="AA1006" s="1">
        <v>6800000</v>
      </c>
      <c r="AB1006" s="1" t="s">
        <v>765</v>
      </c>
      <c r="AC1006" s="5">
        <v>44295</v>
      </c>
      <c r="AF1006" s="1">
        <v>10014</v>
      </c>
      <c r="AI1006" s="1" t="s">
        <v>76</v>
      </c>
      <c r="AJ1006" s="1">
        <v>2019</v>
      </c>
      <c r="AK1006" s="1" t="s">
        <v>121</v>
      </c>
      <c r="AL1006" s="1">
        <v>13</v>
      </c>
    </row>
    <row r="1007" spans="1:38" x14ac:dyDescent="0.2">
      <c r="A1007" s="2" t="str">
        <f>HYPERLINK("https://www.compass.com/listing/101-west-78th-street-unit-3b-manhattan-ny-10024/29510301615419329/","101 W 78th St, Unit 3B")</f>
        <v>101 W 78th St, Unit 3B</v>
      </c>
      <c r="B1007" s="2" t="str">
        <f>HYPERLINK("https://www.compass.com/building/101-w-78th-st-manhattan-ny-10024/281961405798754085/","101 W 78th St")</f>
        <v>101 W 78th St</v>
      </c>
      <c r="C1007" s="1" t="s">
        <v>47</v>
      </c>
      <c r="D1007" s="1" t="s">
        <v>41</v>
      </c>
      <c r="E1007" s="3">
        <v>5149788</v>
      </c>
      <c r="F1007" s="1">
        <v>2148.4305381727099</v>
      </c>
      <c r="G1007" s="1">
        <v>6</v>
      </c>
      <c r="H1007" s="1">
        <v>3</v>
      </c>
      <c r="I1007" s="1">
        <v>3</v>
      </c>
      <c r="J1007" s="1">
        <v>2.5</v>
      </c>
      <c r="K1007" s="1">
        <v>2</v>
      </c>
      <c r="L1007" s="1">
        <v>1</v>
      </c>
      <c r="M1007" s="4">
        <v>2397</v>
      </c>
      <c r="N1007" s="1">
        <v>3470</v>
      </c>
      <c r="O1007" s="1">
        <v>5710</v>
      </c>
      <c r="P1007" s="1">
        <v>2240</v>
      </c>
      <c r="Q1007" s="1" t="s">
        <v>42</v>
      </c>
      <c r="S1007" s="1" t="s">
        <v>42</v>
      </c>
      <c r="T1007" s="1" t="s">
        <v>203</v>
      </c>
      <c r="U1007" s="1">
        <v>296</v>
      </c>
      <c r="V1007" s="5">
        <v>43671</v>
      </c>
      <c r="W1007" s="5">
        <v>43223</v>
      </c>
      <c r="X1007" s="1">
        <v>5950000</v>
      </c>
      <c r="Y1007" s="1">
        <v>5450000</v>
      </c>
      <c r="Z1007" s="5">
        <v>43519</v>
      </c>
      <c r="AA1007" s="1">
        <v>5149788</v>
      </c>
      <c r="AB1007" s="1" t="s">
        <v>766</v>
      </c>
      <c r="AC1007" s="5">
        <v>43565</v>
      </c>
      <c r="AF1007" s="1">
        <v>10024</v>
      </c>
      <c r="AI1007" s="1" t="s">
        <v>767</v>
      </c>
      <c r="AJ1007" s="1">
        <v>1886</v>
      </c>
      <c r="AK1007" s="1" t="s">
        <v>537</v>
      </c>
      <c r="AL1007" s="1">
        <v>21</v>
      </c>
    </row>
    <row r="1008" spans="1:38" x14ac:dyDescent="0.2">
      <c r="A1008" s="2" t="str">
        <f>HYPERLINK("https://www.compass.com/listing/212-west-95th-street-unit-11a-manhattan-ny-10025/348538047680233297/","212 W 95th St, Unit 11A")</f>
        <v>212 W 95th St, Unit 11A</v>
      </c>
      <c r="B1008" s="2" t="str">
        <f>HYPERLINK("https://www.compass.com/building/dahlia-manhattan-ny/282058919214351605/","Dahlia")</f>
        <v>Dahlia</v>
      </c>
      <c r="C1008" s="1" t="s">
        <v>47</v>
      </c>
      <c r="D1008" s="1" t="s">
        <v>41</v>
      </c>
      <c r="E1008" s="3">
        <v>3245985</v>
      </c>
      <c r="F1008" s="1">
        <v>2114.6482084690501</v>
      </c>
      <c r="G1008" s="1">
        <v>5</v>
      </c>
      <c r="H1008" s="1">
        <v>3</v>
      </c>
      <c r="I1008" s="1">
        <v>3</v>
      </c>
      <c r="J1008" s="1">
        <v>3</v>
      </c>
      <c r="K1008" s="1">
        <v>3</v>
      </c>
      <c r="M1008" s="4">
        <v>1535</v>
      </c>
      <c r="N1008" s="1">
        <v>1478.55</v>
      </c>
      <c r="O1008" s="1">
        <v>3268.85</v>
      </c>
      <c r="P1008" s="1">
        <v>1790.3333333333301</v>
      </c>
      <c r="Q1008" s="1" t="s">
        <v>42</v>
      </c>
      <c r="S1008" s="1" t="s">
        <v>42</v>
      </c>
      <c r="T1008" s="1" t="s">
        <v>203</v>
      </c>
      <c r="V1008" s="5">
        <v>44035</v>
      </c>
      <c r="W1008" s="5">
        <v>43732</v>
      </c>
      <c r="X1008" s="1">
        <v>3350000</v>
      </c>
      <c r="Y1008" s="1">
        <v>3350000</v>
      </c>
      <c r="Z1008" s="5">
        <v>43732</v>
      </c>
      <c r="AA1008" s="1">
        <v>3245985</v>
      </c>
      <c r="AB1008" s="1" t="s">
        <v>768</v>
      </c>
      <c r="AC1008" s="5">
        <v>44025</v>
      </c>
      <c r="AF1008" s="1">
        <v>10025</v>
      </c>
      <c r="AI1008" s="1" t="s">
        <v>52</v>
      </c>
      <c r="AJ1008" s="1">
        <v>2019</v>
      </c>
      <c r="AK1008" s="1" t="s">
        <v>87</v>
      </c>
      <c r="AL1008" s="1">
        <v>38</v>
      </c>
    </row>
    <row r="1009" spans="1:38" x14ac:dyDescent="0.2">
      <c r="A1009" s="2" t="str">
        <f>HYPERLINK("https://www.compass.com/listing/200-east-21st-street-manhattan-ny-10010/192568114938975457/","200 E 21st St")</f>
        <v>200 E 21st St</v>
      </c>
      <c r="B1009" s="2" t="str">
        <f>HYPERLINK("https://www.compass.com/building/200-east-21st-street-manhattan-ny/292796762689658005/","200 East 21st Street")</f>
        <v>200 East 21st Street</v>
      </c>
      <c r="C1009" s="1" t="s">
        <v>101</v>
      </c>
      <c r="D1009" s="1" t="s">
        <v>41</v>
      </c>
      <c r="E1009" s="3">
        <v>8000000</v>
      </c>
      <c r="F1009" s="1">
        <v>9696.9696969696906</v>
      </c>
      <c r="G1009" s="1">
        <v>24</v>
      </c>
      <c r="H1009" s="1">
        <v>18</v>
      </c>
      <c r="J1009" s="1">
        <v>9</v>
      </c>
      <c r="M1009" s="1">
        <v>825</v>
      </c>
      <c r="Q1009" s="1" t="s">
        <v>42</v>
      </c>
      <c r="S1009" s="1" t="s">
        <v>42</v>
      </c>
      <c r="T1009" s="1" t="s">
        <v>203</v>
      </c>
      <c r="U1009" s="1">
        <v>1</v>
      </c>
      <c r="V1009" s="5">
        <v>43685</v>
      </c>
      <c r="W1009" s="5">
        <v>41527</v>
      </c>
      <c r="X1009" s="1">
        <v>8000000</v>
      </c>
      <c r="Y1009" s="1">
        <v>8000000</v>
      </c>
      <c r="Z1009" s="5">
        <v>41530</v>
      </c>
      <c r="AA1009" s="1">
        <v>8000000</v>
      </c>
      <c r="AB1009" s="1" t="s">
        <v>204</v>
      </c>
      <c r="AC1009" s="5">
        <v>41531</v>
      </c>
      <c r="AF1009" s="1">
        <v>10010</v>
      </c>
      <c r="AI1009" s="1" t="s">
        <v>769</v>
      </c>
      <c r="AJ1009" s="1">
        <v>2018</v>
      </c>
      <c r="AK1009" s="1" t="s">
        <v>55</v>
      </c>
      <c r="AL1009" s="1">
        <v>67</v>
      </c>
    </row>
    <row r="1010" spans="1:38" x14ac:dyDescent="0.2">
      <c r="A1010" s="2" t="str">
        <f>HYPERLINK("https://www.compass.com/listing/32-east-1st-street-unit-4e-manhattan-ny-10003/325394626269415761/","32 E 1st St, Unit 4E")</f>
        <v>32 E 1st St, Unit 4E</v>
      </c>
      <c r="B1010" s="2" t="str">
        <f>HYPERLINK("https://www.compass.com/building/32-east-1st-street-manhattan-ny/292783157810310133/","32 East 1st Street")</f>
        <v>32 East 1st Street</v>
      </c>
      <c r="C1010" s="1" t="s">
        <v>88</v>
      </c>
      <c r="D1010" s="1" t="s">
        <v>41</v>
      </c>
      <c r="E1010" s="3">
        <v>1100000</v>
      </c>
      <c r="F1010" s="1">
        <v>2272.7272727272698</v>
      </c>
      <c r="G1010" s="1">
        <v>3</v>
      </c>
      <c r="H1010" s="1">
        <v>1</v>
      </c>
      <c r="I1010" s="1">
        <v>1</v>
      </c>
      <c r="J1010" s="1">
        <v>1</v>
      </c>
      <c r="K1010" s="1">
        <v>1</v>
      </c>
      <c r="M1010" s="1">
        <v>484</v>
      </c>
      <c r="N1010" s="1">
        <v>602</v>
      </c>
      <c r="O1010" s="1">
        <v>1282</v>
      </c>
      <c r="P1010" s="1">
        <v>680</v>
      </c>
      <c r="Q1010" s="1" t="s">
        <v>42</v>
      </c>
      <c r="S1010" s="1" t="s">
        <v>42</v>
      </c>
      <c r="T1010" s="1" t="s">
        <v>203</v>
      </c>
      <c r="U1010" s="1">
        <v>96</v>
      </c>
      <c r="V1010" s="5">
        <v>43797</v>
      </c>
      <c r="W1010" s="5">
        <v>43700</v>
      </c>
      <c r="X1010" s="1">
        <v>1175000</v>
      </c>
      <c r="Y1010" s="1">
        <v>1175000</v>
      </c>
      <c r="AA1010" s="1">
        <v>1100000</v>
      </c>
      <c r="AB1010" s="1" t="s">
        <v>770</v>
      </c>
      <c r="AC1010" s="5">
        <v>43826</v>
      </c>
      <c r="AF1010" s="1">
        <v>10003</v>
      </c>
      <c r="AI1010" s="1" t="s">
        <v>45</v>
      </c>
      <c r="AJ1010" s="1">
        <v>2019</v>
      </c>
      <c r="AK1010" s="1" t="s">
        <v>55</v>
      </c>
      <c r="AL1010" s="1">
        <v>30</v>
      </c>
    </row>
    <row r="1011" spans="1:38" x14ac:dyDescent="0.2">
      <c r="A1011" s="2" t="str">
        <f>HYPERLINK("https://www.compass.com/listing/40-bleecker-street-unit-phd-manhattan-ny-10012/763858439932139785/","40 Bleecker St, Unit PHD")</f>
        <v>40 Bleecker St, Unit PHD</v>
      </c>
      <c r="B1011" s="2" t="str">
        <f>HYPERLINK("https://www.compass.com/building/40-bleecker-manhattan-ny/282058881784380757/","40 Bleecker")</f>
        <v>40 Bleecker</v>
      </c>
      <c r="C1011" s="1" t="s">
        <v>92</v>
      </c>
      <c r="D1011" s="1" t="s">
        <v>41</v>
      </c>
      <c r="E1011" s="3">
        <v>18883875</v>
      </c>
      <c r="F1011" s="1">
        <v>4612.5732779677501</v>
      </c>
      <c r="G1011" s="1">
        <v>7</v>
      </c>
      <c r="H1011" s="1">
        <v>5</v>
      </c>
      <c r="I1011" s="1">
        <v>6</v>
      </c>
      <c r="J1011" s="1">
        <v>5.5</v>
      </c>
      <c r="K1011" s="1">
        <v>5</v>
      </c>
      <c r="L1011" s="1">
        <v>1</v>
      </c>
      <c r="M1011" s="4">
        <v>4094</v>
      </c>
      <c r="N1011" s="1">
        <v>6588</v>
      </c>
      <c r="O1011" s="1">
        <v>14370</v>
      </c>
      <c r="P1011" s="1">
        <v>7782</v>
      </c>
      <c r="Q1011" s="1" t="s">
        <v>42</v>
      </c>
      <c r="S1011" s="1" t="s">
        <v>42</v>
      </c>
      <c r="T1011" s="1" t="s">
        <v>203</v>
      </c>
      <c r="U1011" s="1">
        <v>9</v>
      </c>
      <c r="V1011" s="5">
        <v>44360</v>
      </c>
      <c r="W1011" s="5">
        <v>44305</v>
      </c>
      <c r="X1011" s="1">
        <v>1</v>
      </c>
      <c r="Y1011" s="1">
        <v>1</v>
      </c>
      <c r="Z1011" s="5">
        <v>44315</v>
      </c>
      <c r="AA1011" s="1">
        <v>18883875</v>
      </c>
      <c r="AB1011" s="1" t="s">
        <v>771</v>
      </c>
      <c r="AC1011" s="5">
        <v>44349</v>
      </c>
      <c r="AF1011" s="1">
        <v>10012</v>
      </c>
      <c r="AI1011" s="1" t="s">
        <v>172</v>
      </c>
      <c r="AJ1011" s="1">
        <v>2019</v>
      </c>
      <c r="AK1011" s="1" t="s">
        <v>94</v>
      </c>
      <c r="AL1011" s="1">
        <v>61</v>
      </c>
    </row>
    <row r="1012" spans="1:38" x14ac:dyDescent="0.2">
      <c r="A1012" s="2" t="str">
        <f>HYPERLINK("https://www.compass.com/listing/175-west-95th-street-unit-26f-manhattan-ny-10025/29400339706891137/","175 W 95th St, Unit 26F")</f>
        <v>175 W 95th St, Unit 26F</v>
      </c>
      <c r="B1012" s="2" t="str">
        <f>HYPERLINK("https://www.compass.com/building/175-w-95th-manhattan-ny/292876785429866517/","175 W 95th")</f>
        <v>175 W 95th</v>
      </c>
      <c r="C1012" s="1" t="s">
        <v>47</v>
      </c>
      <c r="D1012" s="1" t="s">
        <v>41</v>
      </c>
      <c r="E1012" s="3">
        <v>1644474</v>
      </c>
      <c r="F1012" s="1">
        <v>1732.8493150684899</v>
      </c>
      <c r="G1012" s="1">
        <v>4</v>
      </c>
      <c r="H1012" s="1">
        <v>2</v>
      </c>
      <c r="I1012" s="1">
        <v>2</v>
      </c>
      <c r="J1012" s="1">
        <v>2</v>
      </c>
      <c r="M1012" s="1">
        <v>949</v>
      </c>
      <c r="Q1012" s="1" t="s">
        <v>42</v>
      </c>
      <c r="S1012" s="1" t="s">
        <v>42</v>
      </c>
      <c r="T1012" s="1" t="s">
        <v>203</v>
      </c>
      <c r="U1012" s="1">
        <v>41</v>
      </c>
      <c r="V1012" s="5">
        <v>43703</v>
      </c>
      <c r="W1012" s="5">
        <v>42140</v>
      </c>
      <c r="X1012" s="1">
        <v>1615000</v>
      </c>
      <c r="Y1012" s="1">
        <v>1615000</v>
      </c>
      <c r="Z1012" s="5">
        <v>42182</v>
      </c>
      <c r="AA1012" s="1">
        <v>1644474</v>
      </c>
      <c r="AB1012" s="1" t="s">
        <v>772</v>
      </c>
      <c r="AC1012" s="5">
        <v>42306</v>
      </c>
      <c r="AF1012" s="1">
        <v>10025</v>
      </c>
      <c r="AI1012" s="1" t="s">
        <v>51</v>
      </c>
      <c r="AJ1012" s="1">
        <v>1971</v>
      </c>
      <c r="AK1012" s="1" t="s">
        <v>50</v>
      </c>
      <c r="AL1012" s="1">
        <v>226</v>
      </c>
    </row>
    <row r="1013" spans="1:38" x14ac:dyDescent="0.2">
      <c r="A1013" s="2" t="str">
        <f>HYPERLINK("https://www.compass.com/listing/32-east-1st-street-unit-7a-manhattan-ny-10003/29515147135477857/","32 E 1st St, Unit 7A")</f>
        <v>32 E 1st St, Unit 7A</v>
      </c>
      <c r="B1013" s="2" t="str">
        <f>HYPERLINK("https://www.compass.com/building/32-east-1st-street-manhattan-ny/292783157810310133/","32 East 1st Street")</f>
        <v>32 East 1st Street</v>
      </c>
      <c r="C1013" s="1" t="s">
        <v>88</v>
      </c>
      <c r="D1013" s="1" t="s">
        <v>41</v>
      </c>
      <c r="E1013" s="3">
        <v>3517545</v>
      </c>
      <c r="F1013" s="1">
        <v>2750.23064894448</v>
      </c>
      <c r="G1013" s="1">
        <v>4</v>
      </c>
      <c r="H1013" s="1">
        <v>2</v>
      </c>
      <c r="I1013" s="1">
        <v>2</v>
      </c>
      <c r="J1013" s="1">
        <v>2</v>
      </c>
      <c r="K1013" s="1">
        <v>2</v>
      </c>
      <c r="M1013" s="4">
        <v>1279</v>
      </c>
      <c r="N1013" s="1">
        <v>1972</v>
      </c>
      <c r="O1013" s="1">
        <v>4127</v>
      </c>
      <c r="P1013" s="1">
        <v>2155</v>
      </c>
      <c r="Q1013" s="1" t="s">
        <v>42</v>
      </c>
      <c r="S1013" s="1" t="s">
        <v>42</v>
      </c>
      <c r="T1013" s="1" t="s">
        <v>203</v>
      </c>
      <c r="V1013" s="5">
        <v>43694</v>
      </c>
      <c r="W1013" s="5">
        <v>42993</v>
      </c>
      <c r="X1013" s="1">
        <v>3525000</v>
      </c>
      <c r="Y1013" s="1">
        <v>3525000</v>
      </c>
      <c r="Z1013" s="5">
        <v>42993</v>
      </c>
      <c r="AA1013" s="1">
        <v>3517545</v>
      </c>
      <c r="AB1013" s="1" t="s">
        <v>773</v>
      </c>
      <c r="AC1013" s="5">
        <v>43616</v>
      </c>
      <c r="AF1013" s="1">
        <v>10003</v>
      </c>
      <c r="AI1013" s="1" t="s">
        <v>115</v>
      </c>
      <c r="AJ1013" s="1">
        <v>2019</v>
      </c>
      <c r="AK1013" s="1" t="s">
        <v>55</v>
      </c>
      <c r="AL1013" s="1">
        <v>30</v>
      </c>
    </row>
    <row r="1014" spans="1:38" x14ac:dyDescent="0.2">
      <c r="A1014" s="2" t="str">
        <f>HYPERLINK("https://www.compass.com/listing/275-west-10th-street-unit-11a-manhattan-ny-10014/29368601123287489/","275 W 10th St, Unit 11A")</f>
        <v>275 W 10th St, Unit 11A</v>
      </c>
      <c r="B1014" s="2" t="str">
        <f>HYPERLINK("https://www.compass.com/building/the-shephard-manhattan-ny/281931968864632917/","The Shephard")</f>
        <v>The Shephard</v>
      </c>
      <c r="C1014" s="1" t="s">
        <v>68</v>
      </c>
      <c r="D1014" s="1" t="s">
        <v>41</v>
      </c>
      <c r="E1014" s="3">
        <v>1210950</v>
      </c>
      <c r="F1014" s="1">
        <v>1725</v>
      </c>
      <c r="G1014" s="1">
        <v>2</v>
      </c>
      <c r="H1014" s="1" t="s">
        <v>77</v>
      </c>
      <c r="I1014" s="1">
        <v>1</v>
      </c>
      <c r="J1014" s="1">
        <v>1</v>
      </c>
      <c r="K1014" s="1">
        <v>1</v>
      </c>
      <c r="M1014" s="1">
        <v>702</v>
      </c>
      <c r="N1014" s="1">
        <v>645</v>
      </c>
      <c r="O1014" s="1">
        <v>1470</v>
      </c>
      <c r="P1014" s="1">
        <v>825</v>
      </c>
      <c r="Q1014" s="1" t="s">
        <v>345</v>
      </c>
      <c r="S1014" s="1" t="s">
        <v>345</v>
      </c>
      <c r="T1014" s="1" t="s">
        <v>203</v>
      </c>
      <c r="U1014" s="1">
        <v>58</v>
      </c>
      <c r="V1014" s="5">
        <v>44338</v>
      </c>
      <c r="W1014" s="5">
        <v>43048</v>
      </c>
      <c r="X1014" s="1">
        <v>1350000</v>
      </c>
      <c r="Y1014" s="1">
        <v>1250000</v>
      </c>
      <c r="Z1014" s="5">
        <v>43106</v>
      </c>
      <c r="AA1014" s="1">
        <v>1210950</v>
      </c>
      <c r="AB1014" s="1" t="s">
        <v>774</v>
      </c>
      <c r="AC1014" s="5">
        <v>43146</v>
      </c>
      <c r="AF1014" s="1">
        <v>10014</v>
      </c>
      <c r="AI1014" s="1" t="s">
        <v>67</v>
      </c>
      <c r="AJ1014" s="1">
        <v>2015</v>
      </c>
      <c r="AK1014" s="1" t="s">
        <v>55</v>
      </c>
      <c r="AL1014" s="1">
        <v>38</v>
      </c>
    </row>
    <row r="1015" spans="1:38" x14ac:dyDescent="0.2">
      <c r="A1015" s="2" t="str">
        <f>HYPERLINK("https://www.compass.com/listing/40-bleecker-street-unit-6b-manhattan-ny-10012/741622147994507649/","40 Bleecker St, Unit 6B")</f>
        <v>40 Bleecker St, Unit 6B</v>
      </c>
      <c r="B1015" s="2" t="str">
        <f t="shared" ref="B1015:B1018" si="176">HYPERLINK("https://www.compass.com/building/40-bleecker-manhattan-ny/282058881784380757/","40 Bleecker")</f>
        <v>40 Bleecker</v>
      </c>
      <c r="C1015" s="1" t="s">
        <v>92</v>
      </c>
      <c r="D1015" s="1" t="s">
        <v>41</v>
      </c>
      <c r="E1015" s="3">
        <v>6300000</v>
      </c>
      <c r="F1015" s="1">
        <v>3245.7496136012301</v>
      </c>
      <c r="G1015" s="1">
        <v>6.5</v>
      </c>
      <c r="H1015" s="1">
        <v>3</v>
      </c>
      <c r="I1015" s="1">
        <v>4</v>
      </c>
      <c r="J1015" s="1">
        <v>3.5</v>
      </c>
      <c r="K1015" s="1">
        <v>3</v>
      </c>
      <c r="L1015" s="1">
        <v>1</v>
      </c>
      <c r="M1015" s="4">
        <v>1941</v>
      </c>
      <c r="N1015" s="1">
        <v>2821</v>
      </c>
      <c r="O1015" s="1">
        <v>6153</v>
      </c>
      <c r="P1015" s="1">
        <v>3332</v>
      </c>
      <c r="Q1015" s="1" t="s">
        <v>42</v>
      </c>
      <c r="S1015" s="1" t="s">
        <v>42</v>
      </c>
      <c r="T1015" s="1" t="s">
        <v>203</v>
      </c>
      <c r="U1015" s="1">
        <v>15</v>
      </c>
      <c r="V1015" s="5">
        <v>44316</v>
      </c>
      <c r="W1015" s="5">
        <v>44273</v>
      </c>
      <c r="Y1015" s="1">
        <v>6460000</v>
      </c>
      <c r="Z1015" s="5">
        <v>44288</v>
      </c>
      <c r="AA1015" s="1">
        <v>6300000</v>
      </c>
      <c r="AB1015" s="1" t="s">
        <v>775</v>
      </c>
      <c r="AC1015" s="5">
        <v>44295</v>
      </c>
      <c r="AF1015" s="1">
        <v>10012</v>
      </c>
      <c r="AI1015" s="1" t="s">
        <v>58</v>
      </c>
      <c r="AJ1015" s="1">
        <v>2019</v>
      </c>
      <c r="AK1015" s="1" t="s">
        <v>50</v>
      </c>
      <c r="AL1015" s="1">
        <v>61</v>
      </c>
    </row>
    <row r="1016" spans="1:38" x14ac:dyDescent="0.2">
      <c r="A1016" s="2" t="str">
        <f>HYPERLINK("https://www.compass.com/listing/40-bleecker-street-unit-5a-manhattan-ny-10012/766007321069645897/","40 Bleecker St, Unit 5A")</f>
        <v>40 Bleecker St, Unit 5A</v>
      </c>
      <c r="B1016" s="2" t="str">
        <f t="shared" si="176"/>
        <v>40 Bleecker</v>
      </c>
      <c r="C1016" s="1" t="s">
        <v>92</v>
      </c>
      <c r="D1016" s="1" t="s">
        <v>41</v>
      </c>
      <c r="E1016" s="3">
        <v>4195000</v>
      </c>
      <c r="F1016" s="1">
        <v>2785.5245683930898</v>
      </c>
      <c r="G1016" s="1">
        <v>5.5</v>
      </c>
      <c r="H1016" s="1">
        <v>2</v>
      </c>
      <c r="I1016" s="1">
        <v>3</v>
      </c>
      <c r="J1016" s="1">
        <v>2.5</v>
      </c>
      <c r="K1016" s="1">
        <v>2</v>
      </c>
      <c r="L1016" s="1">
        <v>1</v>
      </c>
      <c r="M1016" s="4">
        <v>1506</v>
      </c>
      <c r="N1016" s="1">
        <v>2189</v>
      </c>
      <c r="O1016" s="1">
        <v>4774</v>
      </c>
      <c r="P1016" s="1">
        <v>2585</v>
      </c>
      <c r="Q1016" s="1" t="s">
        <v>42</v>
      </c>
      <c r="S1016" s="1" t="s">
        <v>42</v>
      </c>
      <c r="T1016" s="1" t="s">
        <v>203</v>
      </c>
      <c r="U1016" s="1">
        <v>1</v>
      </c>
      <c r="V1016" s="5">
        <v>44364</v>
      </c>
      <c r="W1016" s="5">
        <v>44307</v>
      </c>
      <c r="Y1016" s="1">
        <v>4245000</v>
      </c>
      <c r="Z1016" s="5">
        <v>44309</v>
      </c>
      <c r="AA1016" s="1">
        <v>4195000</v>
      </c>
      <c r="AB1016" s="1" t="s">
        <v>776</v>
      </c>
      <c r="AC1016" s="5">
        <v>44362</v>
      </c>
      <c r="AF1016" s="1">
        <v>10012</v>
      </c>
      <c r="AI1016" s="1" t="s">
        <v>58</v>
      </c>
      <c r="AJ1016" s="1">
        <v>2019</v>
      </c>
      <c r="AK1016" s="1" t="s">
        <v>94</v>
      </c>
      <c r="AL1016" s="1">
        <v>61</v>
      </c>
    </row>
    <row r="1017" spans="1:38" x14ac:dyDescent="0.2">
      <c r="A1017" s="2" t="str">
        <f>HYPERLINK("https://www.compass.com/listing/40-bleecker-street-unit-3a-manhattan-ny-10012/760930652255667617/","40 Bleecker St, Unit 3A")</f>
        <v>40 Bleecker St, Unit 3A</v>
      </c>
      <c r="B1017" s="2" t="str">
        <f t="shared" si="176"/>
        <v>40 Bleecker</v>
      </c>
      <c r="C1017" s="1" t="s">
        <v>92</v>
      </c>
      <c r="D1017" s="1" t="s">
        <v>41</v>
      </c>
      <c r="E1017" s="3">
        <v>3945000</v>
      </c>
      <c r="F1017" s="1">
        <v>2619.5219123505899</v>
      </c>
      <c r="G1017" s="1">
        <v>4</v>
      </c>
      <c r="H1017" s="1">
        <v>2</v>
      </c>
      <c r="I1017" s="1">
        <v>2</v>
      </c>
      <c r="J1017" s="1">
        <v>2</v>
      </c>
      <c r="K1017" s="1">
        <v>2</v>
      </c>
      <c r="M1017" s="4">
        <v>1506</v>
      </c>
      <c r="N1017" s="1">
        <v>2188</v>
      </c>
      <c r="O1017" s="1">
        <v>4773</v>
      </c>
      <c r="P1017" s="1">
        <v>2585</v>
      </c>
      <c r="Q1017" s="1" t="s">
        <v>42</v>
      </c>
      <c r="S1017" s="1" t="s">
        <v>42</v>
      </c>
      <c r="T1017" s="1" t="s">
        <v>203</v>
      </c>
      <c r="U1017" s="1">
        <v>700</v>
      </c>
      <c r="V1017" s="5">
        <v>44333</v>
      </c>
      <c r="W1017" s="5">
        <v>43507</v>
      </c>
      <c r="X1017" s="1">
        <v>4045000</v>
      </c>
      <c r="Y1017" s="1">
        <v>4045000</v>
      </c>
      <c r="Z1017" s="5">
        <v>44302</v>
      </c>
      <c r="AA1017" s="1">
        <v>3945000</v>
      </c>
      <c r="AB1017" s="1" t="s">
        <v>777</v>
      </c>
      <c r="AC1017" s="5">
        <v>44328</v>
      </c>
      <c r="AF1017" s="1">
        <v>10012</v>
      </c>
      <c r="AI1017" s="1" t="s">
        <v>58</v>
      </c>
      <c r="AJ1017" s="1">
        <v>2019</v>
      </c>
      <c r="AK1017" s="1" t="s">
        <v>94</v>
      </c>
      <c r="AL1017" s="1">
        <v>61</v>
      </c>
    </row>
    <row r="1018" spans="1:38" x14ac:dyDescent="0.2">
      <c r="A1018" s="2" t="str">
        <f>HYPERLINK("https://www.compass.com/listing/40-bleecker-street-unit-6e-manhattan-ny-10012/723653495593295833/","40 Bleecker St, Unit 6E")</f>
        <v>40 Bleecker St, Unit 6E</v>
      </c>
      <c r="B1018" s="2" t="str">
        <f t="shared" si="176"/>
        <v>40 Bleecker</v>
      </c>
      <c r="C1018" s="1" t="s">
        <v>92</v>
      </c>
      <c r="D1018" s="1" t="s">
        <v>41</v>
      </c>
      <c r="E1018" s="3">
        <v>5250000</v>
      </c>
      <c r="F1018" s="1">
        <v>2804.4871794871701</v>
      </c>
      <c r="G1018" s="1">
        <v>7</v>
      </c>
      <c r="H1018" s="1">
        <v>3</v>
      </c>
      <c r="I1018" s="1">
        <v>3</v>
      </c>
      <c r="J1018" s="1">
        <v>3</v>
      </c>
      <c r="K1018" s="1">
        <v>3</v>
      </c>
      <c r="M1018" s="4">
        <v>1872</v>
      </c>
      <c r="N1018" s="1">
        <v>2720</v>
      </c>
      <c r="O1018" s="1">
        <v>5934</v>
      </c>
      <c r="P1018" s="1">
        <v>3214</v>
      </c>
      <c r="Q1018" s="1" t="s">
        <v>42</v>
      </c>
      <c r="S1018" s="1" t="s">
        <v>42</v>
      </c>
      <c r="T1018" s="1" t="s">
        <v>203</v>
      </c>
      <c r="U1018" s="1">
        <v>59</v>
      </c>
      <c r="V1018" s="5">
        <v>44338</v>
      </c>
      <c r="W1018" s="5">
        <v>44249</v>
      </c>
      <c r="Z1018" s="5">
        <v>44309</v>
      </c>
      <c r="AA1018" s="1">
        <v>5250000</v>
      </c>
      <c r="AB1018" s="1" t="s">
        <v>778</v>
      </c>
      <c r="AC1018" s="5">
        <v>44336</v>
      </c>
      <c r="AF1018" s="1">
        <v>10012</v>
      </c>
      <c r="AI1018" s="1" t="s">
        <v>58</v>
      </c>
      <c r="AJ1018" s="1">
        <v>2019</v>
      </c>
      <c r="AK1018" s="1" t="s">
        <v>94</v>
      </c>
      <c r="AL1018" s="1">
        <v>61</v>
      </c>
    </row>
    <row r="1019" spans="1:38" x14ac:dyDescent="0.2">
      <c r="A1019" s="2" t="str">
        <f>HYPERLINK("https://www.compass.com/listing/212-west-95th-street-unit-17b-manhattan-ny-10025/698164276243645745/","212 W 95th St, Unit 17B")</f>
        <v>212 W 95th St, Unit 17B</v>
      </c>
      <c r="B1019" s="2" t="str">
        <f>HYPERLINK("https://www.compass.com/building/dahlia-manhattan-ny/282058919214351605/","Dahlia")</f>
        <v>Dahlia</v>
      </c>
      <c r="C1019" s="1" t="s">
        <v>47</v>
      </c>
      <c r="D1019" s="1" t="s">
        <v>41</v>
      </c>
      <c r="E1019" s="3">
        <v>3325000</v>
      </c>
      <c r="F1019" s="1">
        <v>2109.77157360406</v>
      </c>
      <c r="G1019" s="1">
        <v>5</v>
      </c>
      <c r="H1019" s="1">
        <v>3</v>
      </c>
      <c r="I1019" s="1">
        <v>3</v>
      </c>
      <c r="J1019" s="1">
        <v>3</v>
      </c>
      <c r="K1019" s="1">
        <v>3</v>
      </c>
      <c r="M1019" s="4">
        <v>1576</v>
      </c>
      <c r="N1019" s="1">
        <v>1927</v>
      </c>
      <c r="O1019" s="1">
        <v>4872</v>
      </c>
      <c r="P1019" s="1">
        <v>2945</v>
      </c>
      <c r="Q1019" s="1" t="s">
        <v>42</v>
      </c>
      <c r="S1019" s="1" t="s">
        <v>42</v>
      </c>
      <c r="T1019" s="1" t="s">
        <v>203</v>
      </c>
      <c r="U1019" s="1">
        <v>84</v>
      </c>
      <c r="V1019" s="5">
        <v>44393</v>
      </c>
      <c r="W1019" s="5">
        <v>44214</v>
      </c>
      <c r="Z1019" s="5">
        <v>44299</v>
      </c>
      <c r="AA1019" s="1">
        <v>3325000</v>
      </c>
      <c r="AB1019" s="1" t="s">
        <v>779</v>
      </c>
      <c r="AC1019" s="5">
        <v>44386</v>
      </c>
      <c r="AF1019" s="1">
        <v>10025</v>
      </c>
      <c r="AI1019" s="1" t="s">
        <v>52</v>
      </c>
      <c r="AJ1019" s="1">
        <v>2019</v>
      </c>
      <c r="AK1019" s="1" t="s">
        <v>87</v>
      </c>
      <c r="AL1019" s="1">
        <v>38</v>
      </c>
    </row>
    <row r="1020" spans="1:38" x14ac:dyDescent="0.2">
      <c r="A1020" s="2" t="str">
        <f>HYPERLINK("https://www.compass.com/listing/40-bleecker-street-unit-4b-manhattan-ny-10012/654793923509476953/","40 Bleecker St, Unit 4B")</f>
        <v>40 Bleecker St, Unit 4B</v>
      </c>
      <c r="B1020" s="2" t="str">
        <f t="shared" ref="B1020:B1023" si="177">HYPERLINK("https://www.compass.com/building/40-bleecker-manhattan-ny/282058881784380757/","40 Bleecker")</f>
        <v>40 Bleecker</v>
      </c>
      <c r="C1020" s="1" t="s">
        <v>92</v>
      </c>
      <c r="D1020" s="1" t="s">
        <v>41</v>
      </c>
      <c r="E1020" s="3">
        <v>6115000</v>
      </c>
      <c r="F1020" s="1">
        <v>3150.43791859866</v>
      </c>
      <c r="G1020" s="1">
        <v>6</v>
      </c>
      <c r="H1020" s="1">
        <v>3</v>
      </c>
      <c r="I1020" s="1">
        <v>4</v>
      </c>
      <c r="J1020" s="1">
        <v>3.5</v>
      </c>
      <c r="K1020" s="1">
        <v>3</v>
      </c>
      <c r="L1020" s="1">
        <v>1</v>
      </c>
      <c r="M1020" s="4">
        <v>1941</v>
      </c>
      <c r="N1020" s="1">
        <v>2821</v>
      </c>
      <c r="O1020" s="1">
        <v>6153</v>
      </c>
      <c r="P1020" s="1">
        <v>3332</v>
      </c>
      <c r="Q1020" s="1" t="s">
        <v>42</v>
      </c>
      <c r="S1020" s="1" t="s">
        <v>42</v>
      </c>
      <c r="T1020" s="1" t="s">
        <v>203</v>
      </c>
      <c r="V1020" s="5">
        <v>44314</v>
      </c>
      <c r="W1020" s="5">
        <v>44154</v>
      </c>
      <c r="X1020" s="1">
        <v>6210000</v>
      </c>
      <c r="Y1020" s="1">
        <v>6210000</v>
      </c>
      <c r="Z1020" s="5">
        <v>44154</v>
      </c>
      <c r="AA1020" s="1">
        <v>6115000</v>
      </c>
      <c r="AB1020" s="1" t="s">
        <v>780</v>
      </c>
      <c r="AC1020" s="5">
        <v>44270</v>
      </c>
      <c r="AF1020" s="1">
        <v>10012</v>
      </c>
      <c r="AI1020" s="1" t="s">
        <v>58</v>
      </c>
      <c r="AJ1020" s="1">
        <v>2019</v>
      </c>
      <c r="AK1020" s="1" t="s">
        <v>94</v>
      </c>
      <c r="AL1020" s="1">
        <v>61</v>
      </c>
    </row>
    <row r="1021" spans="1:38" x14ac:dyDescent="0.2">
      <c r="A1021" s="2" t="str">
        <f>HYPERLINK("https://www.compass.com/listing/40-bleecker-street-unit-9b-manhattan-ny-10012/29515239426987873/","40 Bleecker St, Unit 9B")</f>
        <v>40 Bleecker St, Unit 9B</v>
      </c>
      <c r="B1021" s="2" t="str">
        <f t="shared" si="177"/>
        <v>40 Bleecker</v>
      </c>
      <c r="C1021" s="1" t="s">
        <v>92</v>
      </c>
      <c r="D1021" s="1" t="s">
        <v>41</v>
      </c>
      <c r="E1021" s="3">
        <v>7188845</v>
      </c>
      <c r="F1021" s="1">
        <v>3703.6810922205</v>
      </c>
      <c r="G1021" s="1">
        <v>5</v>
      </c>
      <c r="H1021" s="1">
        <v>3</v>
      </c>
      <c r="I1021" s="1">
        <v>4</v>
      </c>
      <c r="J1021" s="1">
        <v>3.5</v>
      </c>
      <c r="K1021" s="1">
        <v>3</v>
      </c>
      <c r="L1021" s="1">
        <v>1</v>
      </c>
      <c r="M1021" s="4">
        <v>1941</v>
      </c>
      <c r="N1021" s="1">
        <v>2820</v>
      </c>
      <c r="O1021" s="1">
        <v>6152</v>
      </c>
      <c r="P1021" s="1">
        <v>3332</v>
      </c>
      <c r="Q1021" s="1" t="s">
        <v>42</v>
      </c>
      <c r="S1021" s="1" t="s">
        <v>42</v>
      </c>
      <c r="T1021" s="1" t="s">
        <v>203</v>
      </c>
      <c r="V1021" s="5">
        <v>44185</v>
      </c>
      <c r="W1021" s="5">
        <v>43147</v>
      </c>
      <c r="X1021" s="1">
        <v>6760000</v>
      </c>
      <c r="Y1021" s="1">
        <v>6760000</v>
      </c>
      <c r="Z1021" s="5">
        <v>43147</v>
      </c>
      <c r="AA1021" s="1">
        <v>7188845</v>
      </c>
      <c r="AB1021" s="1" t="s">
        <v>781</v>
      </c>
      <c r="AC1021" s="5">
        <v>44176</v>
      </c>
      <c r="AF1021" s="1">
        <v>10012</v>
      </c>
      <c r="AI1021" s="1" t="s">
        <v>58</v>
      </c>
      <c r="AJ1021" s="1">
        <v>2019</v>
      </c>
      <c r="AK1021" s="1" t="s">
        <v>50</v>
      </c>
      <c r="AL1021" s="1">
        <v>61</v>
      </c>
    </row>
    <row r="1022" spans="1:38" x14ac:dyDescent="0.2">
      <c r="A1022" s="2" t="str">
        <f>HYPERLINK("https://www.compass.com/listing/40-bleecker-street-unit-8e-manhattan-ny-10012/460190007798489305/","40 Bleecker St, Unit 8E")</f>
        <v>40 Bleecker St, Unit 8E</v>
      </c>
      <c r="B1022" s="2" t="str">
        <f t="shared" si="177"/>
        <v>40 Bleecker</v>
      </c>
      <c r="C1022" s="1" t="s">
        <v>92</v>
      </c>
      <c r="D1022" s="1" t="s">
        <v>41</v>
      </c>
      <c r="E1022" s="3">
        <v>5525000</v>
      </c>
      <c r="F1022" s="1">
        <v>2951.38888888888</v>
      </c>
      <c r="G1022" s="1">
        <v>5</v>
      </c>
      <c r="H1022" s="1">
        <v>3</v>
      </c>
      <c r="I1022" s="1">
        <v>4</v>
      </c>
      <c r="J1022" s="1">
        <v>3.5</v>
      </c>
      <c r="K1022" s="1">
        <v>3</v>
      </c>
      <c r="L1022" s="1">
        <v>1</v>
      </c>
      <c r="M1022" s="4">
        <v>1872</v>
      </c>
      <c r="N1022" s="1">
        <v>2720</v>
      </c>
      <c r="O1022" s="1">
        <v>5934</v>
      </c>
      <c r="P1022" s="1">
        <v>3214</v>
      </c>
      <c r="Q1022" s="1" t="s">
        <v>42</v>
      </c>
      <c r="S1022" s="1" t="s">
        <v>42</v>
      </c>
      <c r="T1022" s="1" t="s">
        <v>203</v>
      </c>
      <c r="V1022" s="5">
        <v>44336</v>
      </c>
      <c r="W1022" s="5">
        <v>43112</v>
      </c>
      <c r="X1022" s="1">
        <v>5760000</v>
      </c>
      <c r="Y1022" s="1">
        <v>5760000</v>
      </c>
      <c r="Z1022" s="5">
        <v>43112</v>
      </c>
      <c r="AA1022" s="1">
        <v>5525000</v>
      </c>
      <c r="AB1022" s="1" t="s">
        <v>782</v>
      </c>
      <c r="AC1022" s="5">
        <v>44320</v>
      </c>
      <c r="AF1022" s="1">
        <v>10012</v>
      </c>
      <c r="AI1022" s="1" t="s">
        <v>58</v>
      </c>
      <c r="AJ1022" s="1">
        <v>2019</v>
      </c>
      <c r="AK1022" s="1" t="s">
        <v>94</v>
      </c>
      <c r="AL1022" s="1">
        <v>61</v>
      </c>
    </row>
    <row r="1023" spans="1:38" x14ac:dyDescent="0.2">
      <c r="A1023" s="2" t="str">
        <f>HYPERLINK("https://www.compass.com/listing/40-bleecker-street-unit-4b-manhattan-ny-10012/784064119739453465/","40 Bleecker St, Unit 4B")</f>
        <v>40 Bleecker St, Unit 4B</v>
      </c>
      <c r="B1023" s="2" t="str">
        <f t="shared" si="177"/>
        <v>40 Bleecker</v>
      </c>
      <c r="C1023" s="1" t="s">
        <v>92</v>
      </c>
      <c r="D1023" s="1" t="s">
        <v>41</v>
      </c>
      <c r="E1023" s="3">
        <v>6115000</v>
      </c>
      <c r="F1023" s="1">
        <v>3150.43791859866</v>
      </c>
      <c r="G1023" s="1">
        <v>6</v>
      </c>
      <c r="H1023" s="1">
        <v>3</v>
      </c>
      <c r="I1023" s="1">
        <v>4</v>
      </c>
      <c r="J1023" s="1">
        <v>3.5</v>
      </c>
      <c r="K1023" s="1">
        <v>3</v>
      </c>
      <c r="L1023" s="1">
        <v>1</v>
      </c>
      <c r="M1023" s="4">
        <v>1941</v>
      </c>
      <c r="N1023" s="1">
        <v>2821</v>
      </c>
      <c r="O1023" s="1">
        <v>6153</v>
      </c>
      <c r="P1023" s="1">
        <v>3332</v>
      </c>
      <c r="Q1023" s="1" t="s">
        <v>42</v>
      </c>
      <c r="S1023" s="1" t="s">
        <v>42</v>
      </c>
      <c r="T1023" s="1" t="s">
        <v>203</v>
      </c>
      <c r="U1023" s="1">
        <v>120</v>
      </c>
      <c r="V1023" s="5">
        <v>44157</v>
      </c>
      <c r="W1023" s="5">
        <v>43717</v>
      </c>
      <c r="X1023" s="1">
        <v>6210000</v>
      </c>
      <c r="Y1023" s="1">
        <v>6210000</v>
      </c>
      <c r="AA1023" s="1">
        <v>6115000</v>
      </c>
      <c r="AB1023" s="1" t="s">
        <v>780</v>
      </c>
      <c r="AC1023" s="5">
        <v>44270</v>
      </c>
      <c r="AF1023" s="1">
        <v>10012</v>
      </c>
      <c r="AI1023" s="1" t="s">
        <v>58</v>
      </c>
      <c r="AJ1023" s="1">
        <v>2019</v>
      </c>
      <c r="AK1023" s="1" t="s">
        <v>50</v>
      </c>
      <c r="AL1023" s="1">
        <v>61</v>
      </c>
    </row>
    <row r="1024" spans="1:38" x14ac:dyDescent="0.2">
      <c r="A1024" s="2" t="str">
        <f>HYPERLINK("https://www.compass.com/listing/101-west-78th-street-unit-8a-manhattan-ny-10024/784686593321544385/","101 W 78th St, Unit 8A")</f>
        <v>101 W 78th St, Unit 8A</v>
      </c>
      <c r="B1024" s="2" t="str">
        <f>HYPERLINK("https://www.compass.com/building/101-w-78th-st-manhattan-ny-10024/281961405798754085/","101 W 78th St")</f>
        <v>101 W 78th St</v>
      </c>
      <c r="C1024" s="1" t="s">
        <v>47</v>
      </c>
      <c r="D1024" s="1" t="s">
        <v>41</v>
      </c>
      <c r="E1024" s="3">
        <v>9200000</v>
      </c>
      <c r="F1024" s="1">
        <v>2212.0702091848998</v>
      </c>
      <c r="G1024" s="1">
        <v>6</v>
      </c>
      <c r="H1024" s="1">
        <v>4</v>
      </c>
      <c r="I1024" s="1">
        <v>3.5</v>
      </c>
      <c r="J1024" s="1">
        <v>3.5</v>
      </c>
      <c r="M1024" s="4">
        <v>4159</v>
      </c>
      <c r="N1024" s="1">
        <v>6022</v>
      </c>
      <c r="O1024" s="1">
        <v>9909</v>
      </c>
      <c r="P1024" s="1">
        <v>3887</v>
      </c>
      <c r="Q1024" s="1" t="s">
        <v>42</v>
      </c>
      <c r="S1024" s="1" t="s">
        <v>42</v>
      </c>
      <c r="T1024" s="1" t="s">
        <v>203</v>
      </c>
      <c r="V1024" s="5">
        <v>44335</v>
      </c>
      <c r="AA1024" s="1">
        <v>9200000</v>
      </c>
      <c r="AB1024" s="1" t="s">
        <v>783</v>
      </c>
      <c r="AC1024" s="5">
        <v>43487</v>
      </c>
      <c r="AF1024" s="1">
        <v>10024</v>
      </c>
      <c r="AI1024" s="1" t="s">
        <v>784</v>
      </c>
      <c r="AJ1024" s="1">
        <v>1886</v>
      </c>
      <c r="AK1024" s="1" t="s">
        <v>87</v>
      </c>
      <c r="AL1024" s="1">
        <v>21</v>
      </c>
    </row>
    <row r="1025" spans="1:38" x14ac:dyDescent="0.2">
      <c r="A1025" s="2" t="str">
        <f>HYPERLINK("https://www.compass.com/listing/40-bleecker-street-unit-9d-manhattan-ny-10012/83823562087027809/","40 Bleecker St, Unit 9D")</f>
        <v>40 Bleecker St, Unit 9D</v>
      </c>
      <c r="B1025" s="2" t="str">
        <f>HYPERLINK("https://www.compass.com/building/40-bleecker-manhattan-ny/282058881784380757/","40 Bleecker")</f>
        <v>40 Bleecker</v>
      </c>
      <c r="C1025" s="1" t="s">
        <v>92</v>
      </c>
      <c r="D1025" s="1" t="s">
        <v>41</v>
      </c>
      <c r="E1025" s="3">
        <v>5574919</v>
      </c>
      <c r="F1025" s="1">
        <v>3411.8229804161501</v>
      </c>
      <c r="G1025" s="1">
        <v>6</v>
      </c>
      <c r="H1025" s="1">
        <v>3</v>
      </c>
      <c r="I1025" s="1">
        <v>3</v>
      </c>
      <c r="J1025" s="1">
        <v>3</v>
      </c>
      <c r="K1025" s="1">
        <v>3</v>
      </c>
      <c r="M1025" s="4">
        <v>1634</v>
      </c>
      <c r="N1025" s="1">
        <v>2375</v>
      </c>
      <c r="O1025" s="1">
        <v>5180</v>
      </c>
      <c r="P1025" s="1">
        <v>2805</v>
      </c>
      <c r="Q1025" s="1" t="s">
        <v>42</v>
      </c>
      <c r="S1025" s="1" t="s">
        <v>42</v>
      </c>
      <c r="T1025" s="1" t="s">
        <v>203</v>
      </c>
      <c r="V1025" s="5">
        <v>44225</v>
      </c>
      <c r="W1025" s="5">
        <v>43367</v>
      </c>
      <c r="X1025" s="1">
        <v>5475000</v>
      </c>
      <c r="Y1025" s="1">
        <v>5475000</v>
      </c>
      <c r="Z1025" s="5">
        <v>43367</v>
      </c>
      <c r="AA1025" s="1">
        <v>5574918.75</v>
      </c>
      <c r="AB1025" s="1" t="s">
        <v>785</v>
      </c>
      <c r="AC1025" s="5">
        <v>44176</v>
      </c>
      <c r="AF1025" s="1">
        <v>10012</v>
      </c>
      <c r="AI1025" s="1" t="s">
        <v>58</v>
      </c>
      <c r="AJ1025" s="1">
        <v>2019</v>
      </c>
      <c r="AK1025" s="1" t="s">
        <v>50</v>
      </c>
      <c r="AL1025" s="1">
        <v>61</v>
      </c>
    </row>
    <row r="1026" spans="1:38" x14ac:dyDescent="0.2">
      <c r="A1026" s="2" t="str">
        <f>HYPERLINK("https://www.compass.com/listing/275-west-10th-street-unit-mais-d-manhattan-ny-10014/803347930186261937/","275 W 10th St, Unit MAIS-D")</f>
        <v>275 W 10th St, Unit MAIS-D</v>
      </c>
      <c r="B1026" s="2" t="str">
        <f>HYPERLINK("https://www.compass.com/building/the-shephard-manhattan-ny/281931968864632917/","The Shephard")</f>
        <v>The Shephard</v>
      </c>
      <c r="C1026" s="1" t="s">
        <v>68</v>
      </c>
      <c r="D1026" s="1" t="s">
        <v>41</v>
      </c>
      <c r="E1026" s="3">
        <v>1190000</v>
      </c>
      <c r="F1026" s="1">
        <v>2423.62525458248</v>
      </c>
      <c r="G1026" s="1">
        <v>2</v>
      </c>
      <c r="H1026" s="1" t="s">
        <v>77</v>
      </c>
      <c r="I1026" s="1">
        <v>1</v>
      </c>
      <c r="J1026" s="1">
        <v>1</v>
      </c>
      <c r="K1026" s="1">
        <v>1</v>
      </c>
      <c r="M1026" s="1">
        <v>491</v>
      </c>
      <c r="N1026" s="1">
        <v>451</v>
      </c>
      <c r="O1026" s="1">
        <v>1042</v>
      </c>
      <c r="P1026" s="1">
        <v>591</v>
      </c>
      <c r="Q1026" s="1" t="s">
        <v>42</v>
      </c>
      <c r="S1026" s="1" t="s">
        <v>42</v>
      </c>
      <c r="T1026" s="1" t="s">
        <v>203</v>
      </c>
      <c r="V1026" s="5">
        <v>43678</v>
      </c>
      <c r="AA1026" s="1">
        <v>1190000</v>
      </c>
      <c r="AB1026" s="1" t="s">
        <v>204</v>
      </c>
      <c r="AC1026" s="5">
        <v>43166</v>
      </c>
      <c r="AF1026" s="1">
        <v>10014</v>
      </c>
      <c r="AI1026" s="1" t="s">
        <v>86</v>
      </c>
      <c r="AJ1026" s="1">
        <v>2015</v>
      </c>
      <c r="AK1026" s="1" t="s">
        <v>87</v>
      </c>
      <c r="AL1026" s="1">
        <v>38</v>
      </c>
    </row>
    <row r="1027" spans="1:38" x14ac:dyDescent="0.2">
      <c r="A1027" s="2" t="str">
        <f>HYPERLINK("https://www.compass.com/listing/40-bleecker-street-unit-7d-manhattan-ny-10012/738443032956114745/","40 Bleecker St, Unit 7D")</f>
        <v>40 Bleecker St, Unit 7D</v>
      </c>
      <c r="B1027" s="2" t="str">
        <f>HYPERLINK("https://www.compass.com/building/40-bleecker-manhattan-ny/282058881784380757/","40 Bleecker")</f>
        <v>40 Bleecker</v>
      </c>
      <c r="C1027" s="1" t="s">
        <v>92</v>
      </c>
      <c r="D1027" s="1" t="s">
        <v>41</v>
      </c>
      <c r="E1027" s="3">
        <v>4985000</v>
      </c>
      <c r="F1027" s="1">
        <v>3050.79559363525</v>
      </c>
      <c r="G1027" s="1">
        <v>6</v>
      </c>
      <c r="H1027" s="1">
        <v>3</v>
      </c>
      <c r="I1027" s="1">
        <v>3</v>
      </c>
      <c r="J1027" s="1">
        <v>3</v>
      </c>
      <c r="K1027" s="1">
        <v>3</v>
      </c>
      <c r="M1027" s="4">
        <v>1634</v>
      </c>
      <c r="N1027" s="1">
        <v>2375</v>
      </c>
      <c r="O1027" s="1">
        <v>5180</v>
      </c>
      <c r="P1027" s="1">
        <v>2805</v>
      </c>
      <c r="Q1027" s="1" t="s">
        <v>42</v>
      </c>
      <c r="S1027" s="1" t="s">
        <v>42</v>
      </c>
      <c r="T1027" s="1" t="s">
        <v>203</v>
      </c>
      <c r="U1027" s="1">
        <v>21</v>
      </c>
      <c r="V1027" s="5">
        <v>44316</v>
      </c>
      <c r="W1027" s="5">
        <v>44267</v>
      </c>
      <c r="Y1027" s="1">
        <v>5275000</v>
      </c>
      <c r="Z1027" s="5">
        <v>44288</v>
      </c>
      <c r="AA1027" s="1">
        <v>4985000</v>
      </c>
      <c r="AB1027" s="1" t="s">
        <v>786</v>
      </c>
      <c r="AC1027" s="5">
        <v>44300</v>
      </c>
      <c r="AF1027" s="1">
        <v>10012</v>
      </c>
      <c r="AI1027" s="1" t="s">
        <v>58</v>
      </c>
      <c r="AJ1027" s="1">
        <v>2019</v>
      </c>
      <c r="AK1027" s="1" t="s">
        <v>94</v>
      </c>
      <c r="AL1027" s="1">
        <v>61</v>
      </c>
    </row>
    <row r="1028" spans="1:38" x14ac:dyDescent="0.2">
      <c r="A1028" s="2" t="str">
        <f>HYPERLINK("https://www.compass.com/listing/210-bowery-unit-7-manhattan-ny-10012/567558145839594865/","210 Bowery, Unit 7")</f>
        <v>210 Bowery, Unit 7</v>
      </c>
      <c r="B1028" s="2" t="str">
        <f>HYPERLINK("https://www.compass.com/building/210-bowery-manhattan-ny-10012/281914022184383861/","210 Bowery")</f>
        <v>210 Bowery</v>
      </c>
      <c r="C1028" s="1" t="s">
        <v>118</v>
      </c>
      <c r="D1028" s="1" t="s">
        <v>41</v>
      </c>
      <c r="E1028" s="3">
        <v>2665000</v>
      </c>
      <c r="F1028" s="1">
        <v>1814.1592920353901</v>
      </c>
      <c r="G1028" s="1">
        <v>4</v>
      </c>
      <c r="H1028" s="1">
        <v>2</v>
      </c>
      <c r="I1028" s="1">
        <v>2</v>
      </c>
      <c r="J1028" s="1">
        <v>2</v>
      </c>
      <c r="K1028" s="1">
        <v>2</v>
      </c>
      <c r="M1028" s="4">
        <v>1469</v>
      </c>
      <c r="N1028" s="1">
        <v>958</v>
      </c>
      <c r="O1028" s="1">
        <v>2013</v>
      </c>
      <c r="P1028" s="1">
        <v>1055</v>
      </c>
      <c r="Q1028" s="1" t="s">
        <v>42</v>
      </c>
      <c r="S1028" s="1" t="s">
        <v>42</v>
      </c>
      <c r="T1028" s="1" t="s">
        <v>203</v>
      </c>
      <c r="U1028" s="1">
        <v>169</v>
      </c>
      <c r="V1028" s="5">
        <v>43619</v>
      </c>
      <c r="W1028" s="5">
        <v>43416</v>
      </c>
      <c r="X1028" s="1">
        <v>2800000</v>
      </c>
      <c r="Y1028" s="1">
        <v>2725000</v>
      </c>
      <c r="Z1028" s="5">
        <v>43586</v>
      </c>
      <c r="AA1028" s="1">
        <v>2665000</v>
      </c>
      <c r="AB1028" s="1" t="s">
        <v>204</v>
      </c>
      <c r="AC1028" s="5">
        <v>43619</v>
      </c>
      <c r="AF1028" s="1">
        <v>10012</v>
      </c>
      <c r="AI1028" s="1" t="s">
        <v>787</v>
      </c>
      <c r="AJ1028" s="1">
        <v>2016</v>
      </c>
      <c r="AL1028" s="1">
        <v>7</v>
      </c>
    </row>
    <row r="1029" spans="1:38" x14ac:dyDescent="0.2">
      <c r="A1029" s="2" t="str">
        <f>HYPERLINK("https://www.compass.com/listing/200-east-21st-street-manhattan-ny-10010/29380271405096785/","200 E 21st St")</f>
        <v>200 E 21st St</v>
      </c>
      <c r="B1029" s="2" t="str">
        <f>HYPERLINK("https://www.compass.com/building/200-east-21st-street-manhattan-ny/292796762689658005/","200 East 21st Street")</f>
        <v>200 East 21st Street</v>
      </c>
      <c r="C1029" s="1" t="s">
        <v>101</v>
      </c>
      <c r="D1029" s="1" t="s">
        <v>41</v>
      </c>
      <c r="E1029" s="3">
        <v>728052</v>
      </c>
      <c r="F1029" s="1">
        <v>882.486715151515</v>
      </c>
      <c r="H1029" s="1">
        <v>18</v>
      </c>
      <c r="J1029" s="1">
        <v>9</v>
      </c>
      <c r="M1029" s="1">
        <v>825</v>
      </c>
      <c r="Q1029" s="1" t="s">
        <v>42</v>
      </c>
      <c r="S1029" s="1" t="s">
        <v>42</v>
      </c>
      <c r="T1029" s="1" t="s">
        <v>203</v>
      </c>
      <c r="V1029" s="5">
        <v>43859</v>
      </c>
      <c r="AA1029" s="1">
        <v>728051.54</v>
      </c>
      <c r="AB1029" s="1" t="s">
        <v>788</v>
      </c>
      <c r="AC1029" s="5">
        <v>41880</v>
      </c>
      <c r="AF1029" s="1">
        <v>10010</v>
      </c>
      <c r="AI1029" s="1" t="s">
        <v>769</v>
      </c>
      <c r="AJ1029" s="1">
        <v>2018</v>
      </c>
      <c r="AK1029" s="1" t="s">
        <v>55</v>
      </c>
      <c r="AL1029" s="1">
        <v>67</v>
      </c>
    </row>
    <row r="1030" spans="1:38" x14ac:dyDescent="0.2">
      <c r="A1030" s="2" t="str">
        <f>HYPERLINK("https://www.compass.com/listing/40-bleecker-street-unit-7b-manhattan-ny-10012/29515236063114913/","40 Bleecker St, Unit 7B")</f>
        <v>40 Bleecker St, Unit 7B</v>
      </c>
      <c r="B1030" s="2" t="str">
        <f t="shared" ref="B1030:B1033" si="178">HYPERLINK("https://www.compass.com/building/40-bleecker-manhattan-ny/282058881784380757/","40 Bleecker")</f>
        <v>40 Bleecker</v>
      </c>
      <c r="C1030" s="1" t="s">
        <v>92</v>
      </c>
      <c r="D1030" s="1" t="s">
        <v>41</v>
      </c>
      <c r="E1030" s="3">
        <v>6400000</v>
      </c>
      <c r="F1030" s="1">
        <v>3297.2694487377598</v>
      </c>
      <c r="G1030" s="1">
        <v>7</v>
      </c>
      <c r="H1030" s="1">
        <v>3</v>
      </c>
      <c r="I1030" s="1">
        <v>4</v>
      </c>
      <c r="J1030" s="1">
        <v>3.5</v>
      </c>
      <c r="K1030" s="1">
        <v>3</v>
      </c>
      <c r="L1030" s="1">
        <v>1</v>
      </c>
      <c r="M1030" s="4">
        <v>1941</v>
      </c>
      <c r="N1030" s="1">
        <v>2821</v>
      </c>
      <c r="O1030" s="1">
        <v>6153</v>
      </c>
      <c r="P1030" s="1">
        <v>3332</v>
      </c>
      <c r="Q1030" s="1" t="s">
        <v>42</v>
      </c>
      <c r="S1030" s="1" t="s">
        <v>42</v>
      </c>
      <c r="T1030" s="1" t="s">
        <v>203</v>
      </c>
      <c r="V1030" s="5">
        <v>44321</v>
      </c>
      <c r="W1030" s="5">
        <v>43236</v>
      </c>
      <c r="X1030" s="1">
        <v>6560000</v>
      </c>
      <c r="Y1030" s="1">
        <v>6560000</v>
      </c>
      <c r="Z1030" s="5">
        <v>43237</v>
      </c>
      <c r="AA1030" s="1">
        <v>6400000</v>
      </c>
      <c r="AB1030" s="1" t="s">
        <v>789</v>
      </c>
      <c r="AC1030" s="5">
        <v>44316</v>
      </c>
      <c r="AF1030" s="1">
        <v>10012</v>
      </c>
      <c r="AI1030" s="1" t="s">
        <v>58</v>
      </c>
      <c r="AJ1030" s="1">
        <v>2019</v>
      </c>
      <c r="AK1030" s="1" t="s">
        <v>94</v>
      </c>
      <c r="AL1030" s="1">
        <v>61</v>
      </c>
    </row>
    <row r="1031" spans="1:38" x14ac:dyDescent="0.2">
      <c r="A1031" s="2" t="str">
        <f>HYPERLINK("https://www.compass.com/listing/40-bleecker-street-unit-8b-manhattan-ny-10012/29515236734176577/","40 Bleecker St, Unit 8B")</f>
        <v>40 Bleecker St, Unit 8B</v>
      </c>
      <c r="B1031" s="2" t="str">
        <f t="shared" si="178"/>
        <v>40 Bleecker</v>
      </c>
      <c r="C1031" s="1" t="s">
        <v>92</v>
      </c>
      <c r="D1031" s="1" t="s">
        <v>41</v>
      </c>
      <c r="E1031" s="3">
        <v>7326309</v>
      </c>
      <c r="F1031" s="1">
        <v>3774.5021895929899</v>
      </c>
      <c r="G1031" s="1">
        <v>5</v>
      </c>
      <c r="H1031" s="1">
        <v>3</v>
      </c>
      <c r="I1031" s="1">
        <v>4</v>
      </c>
      <c r="J1031" s="1">
        <v>3.5</v>
      </c>
      <c r="K1031" s="1">
        <v>3</v>
      </c>
      <c r="L1031" s="1">
        <v>1</v>
      </c>
      <c r="M1031" s="4">
        <v>1941</v>
      </c>
      <c r="N1031" s="1">
        <v>2821</v>
      </c>
      <c r="O1031" s="1">
        <v>6153</v>
      </c>
      <c r="P1031" s="1">
        <v>3332</v>
      </c>
      <c r="Q1031" s="1" t="s">
        <v>42</v>
      </c>
      <c r="S1031" s="1" t="s">
        <v>42</v>
      </c>
      <c r="T1031" s="1" t="s">
        <v>203</v>
      </c>
      <c r="U1031" s="1">
        <v>1</v>
      </c>
      <c r="V1031" s="5">
        <v>44180</v>
      </c>
      <c r="W1031" s="5">
        <v>43168</v>
      </c>
      <c r="X1031" s="1">
        <v>6660000</v>
      </c>
      <c r="Y1031" s="1">
        <v>6660000</v>
      </c>
      <c r="Z1031" s="5">
        <v>43170</v>
      </c>
      <c r="AA1031" s="1">
        <v>7326308.75</v>
      </c>
      <c r="AB1031" s="1" t="s">
        <v>790</v>
      </c>
      <c r="AC1031" s="5">
        <v>44175</v>
      </c>
      <c r="AF1031" s="1">
        <v>10012</v>
      </c>
      <c r="AI1031" s="1" t="s">
        <v>58</v>
      </c>
      <c r="AJ1031" s="1">
        <v>2019</v>
      </c>
      <c r="AK1031" s="1" t="s">
        <v>50</v>
      </c>
      <c r="AL1031" s="1">
        <v>61</v>
      </c>
    </row>
    <row r="1032" spans="1:38" x14ac:dyDescent="0.2">
      <c r="A1032" s="2" t="str">
        <f>HYPERLINK("https://www.compass.com/listing/40-bleecker-street-unit-8d-manhattan-ny-10012/337578254814320337/","40 Bleecker St, Unit 8D")</f>
        <v>40 Bleecker St, Unit 8D</v>
      </c>
      <c r="B1032" s="2" t="str">
        <f t="shared" si="178"/>
        <v>40 Bleecker</v>
      </c>
      <c r="C1032" s="1" t="s">
        <v>92</v>
      </c>
      <c r="D1032" s="1" t="s">
        <v>41</v>
      </c>
      <c r="E1032" s="3">
        <v>4836150</v>
      </c>
      <c r="F1032" s="1">
        <v>2959.7001223990201</v>
      </c>
      <c r="G1032" s="1">
        <v>6</v>
      </c>
      <c r="H1032" s="1">
        <v>3</v>
      </c>
      <c r="I1032" s="1">
        <v>3</v>
      </c>
      <c r="J1032" s="1">
        <v>3</v>
      </c>
      <c r="K1032" s="1">
        <v>3</v>
      </c>
      <c r="M1032" s="4">
        <v>1634</v>
      </c>
      <c r="N1032" s="1">
        <v>2375</v>
      </c>
      <c r="O1032" s="1">
        <v>5180</v>
      </c>
      <c r="P1032" s="1">
        <v>2805</v>
      </c>
      <c r="Q1032" s="1" t="s">
        <v>42</v>
      </c>
      <c r="S1032" s="1" t="s">
        <v>42</v>
      </c>
      <c r="T1032" s="1" t="s">
        <v>203</v>
      </c>
      <c r="U1032" s="1">
        <v>441</v>
      </c>
      <c r="V1032" s="5">
        <v>44185</v>
      </c>
      <c r="W1032" s="5">
        <v>43396</v>
      </c>
      <c r="X1032" s="1">
        <v>5375000</v>
      </c>
      <c r="Y1032" s="1">
        <v>5375000</v>
      </c>
      <c r="Z1032" s="5">
        <v>44176</v>
      </c>
      <c r="AA1032" s="1">
        <v>4836150</v>
      </c>
      <c r="AB1032" s="1" t="s">
        <v>791</v>
      </c>
      <c r="AC1032" s="5">
        <v>44183</v>
      </c>
      <c r="AF1032" s="1">
        <v>10012</v>
      </c>
      <c r="AI1032" s="1" t="s">
        <v>58</v>
      </c>
      <c r="AJ1032" s="1">
        <v>2019</v>
      </c>
      <c r="AK1032" s="1" t="s">
        <v>94</v>
      </c>
      <c r="AL1032" s="1">
        <v>61</v>
      </c>
    </row>
    <row r="1033" spans="1:38" x14ac:dyDescent="0.2">
      <c r="A1033" s="2" t="str">
        <f>HYPERLINK("https://www.compass.com/listing/40-bleecker-street-unit-phb-manhattan-ny-10012/29515242446886961/","40 Bleecker St, Unit PHB")</f>
        <v>40 Bleecker St, Unit PHB</v>
      </c>
      <c r="B1033" s="2" t="str">
        <f t="shared" si="178"/>
        <v>40 Bleecker</v>
      </c>
      <c r="C1033" s="1" t="s">
        <v>92</v>
      </c>
      <c r="D1033" s="1" t="s">
        <v>41</v>
      </c>
      <c r="E1033" s="3">
        <v>6720450</v>
      </c>
      <c r="F1033" s="1">
        <v>3565.2254641909799</v>
      </c>
      <c r="G1033" s="1">
        <v>5</v>
      </c>
      <c r="H1033" s="1">
        <v>2</v>
      </c>
      <c r="I1033" s="1">
        <v>3</v>
      </c>
      <c r="J1033" s="1">
        <v>2.5</v>
      </c>
      <c r="K1033" s="1">
        <v>2</v>
      </c>
      <c r="L1033" s="1">
        <v>1</v>
      </c>
      <c r="M1033" s="4">
        <v>1885</v>
      </c>
      <c r="N1033" s="1">
        <v>3027</v>
      </c>
      <c r="O1033" s="1">
        <v>6603</v>
      </c>
      <c r="P1033" s="1">
        <v>3576</v>
      </c>
      <c r="Q1033" s="1" t="s">
        <v>42</v>
      </c>
      <c r="S1033" s="1" t="s">
        <v>42</v>
      </c>
      <c r="T1033" s="1" t="s">
        <v>203</v>
      </c>
      <c r="U1033" s="1">
        <v>979</v>
      </c>
      <c r="V1033" s="5">
        <v>44197</v>
      </c>
      <c r="W1033" s="5">
        <v>43112</v>
      </c>
      <c r="X1033" s="1">
        <v>6600000</v>
      </c>
      <c r="Y1033" s="1">
        <v>6600000</v>
      </c>
      <c r="Z1033" s="5">
        <v>43146</v>
      </c>
      <c r="AA1033" s="1">
        <v>6720450</v>
      </c>
      <c r="AB1033" s="1" t="s">
        <v>792</v>
      </c>
      <c r="AC1033" s="5">
        <v>44194</v>
      </c>
      <c r="AF1033" s="1">
        <v>10012</v>
      </c>
      <c r="AI1033" s="1" t="s">
        <v>98</v>
      </c>
      <c r="AJ1033" s="1">
        <v>2019</v>
      </c>
      <c r="AK1033" s="1" t="s">
        <v>50</v>
      </c>
      <c r="AL1033" s="1">
        <v>61</v>
      </c>
    </row>
    <row r="1034" spans="1:38" x14ac:dyDescent="0.2">
      <c r="A1034" s="2" t="str">
        <f>HYPERLINK("https://www.compass.com/listing/175-west-95th-street-unit-3g-manhattan-ny-10025/29400317493899137/","175 W 95th St, Unit 3G")</f>
        <v>175 W 95th St, Unit 3G</v>
      </c>
      <c r="B1034" s="2" t="str">
        <f t="shared" ref="B1034:B1037" si="179">HYPERLINK("https://www.compass.com/building/175-w-95th-manhattan-ny/292876785429866517/","175 W 95th")</f>
        <v>175 W 95th</v>
      </c>
      <c r="C1034" s="1" t="s">
        <v>47</v>
      </c>
      <c r="D1034" s="1" t="s">
        <v>41</v>
      </c>
      <c r="E1034" s="3">
        <v>1552831</v>
      </c>
      <c r="F1034" s="1">
        <v>1614.1694386694301</v>
      </c>
      <c r="G1034" s="1">
        <v>4</v>
      </c>
      <c r="H1034" s="1">
        <v>2</v>
      </c>
      <c r="I1034" s="1">
        <v>2</v>
      </c>
      <c r="J1034" s="1">
        <v>2</v>
      </c>
      <c r="M1034" s="1">
        <v>962</v>
      </c>
      <c r="Q1034" s="1" t="s">
        <v>42</v>
      </c>
      <c r="S1034" s="1" t="s">
        <v>42</v>
      </c>
      <c r="T1034" s="1" t="s">
        <v>203</v>
      </c>
      <c r="U1034" s="1">
        <v>8</v>
      </c>
      <c r="V1034" s="5">
        <v>43703</v>
      </c>
      <c r="W1034" s="5">
        <v>42230</v>
      </c>
      <c r="X1034" s="1">
        <v>1525000</v>
      </c>
      <c r="Y1034" s="1">
        <v>1525000</v>
      </c>
      <c r="Z1034" s="5">
        <v>42238</v>
      </c>
      <c r="AA1034" s="1">
        <v>1552831</v>
      </c>
      <c r="AB1034" s="1" t="s">
        <v>793</v>
      </c>
      <c r="AC1034" s="5">
        <v>42307</v>
      </c>
      <c r="AF1034" s="1">
        <v>10025</v>
      </c>
      <c r="AI1034" s="1" t="s">
        <v>163</v>
      </c>
      <c r="AJ1034" s="1">
        <v>1971</v>
      </c>
      <c r="AK1034" s="1" t="s">
        <v>50</v>
      </c>
      <c r="AL1034" s="1">
        <v>226</v>
      </c>
    </row>
    <row r="1035" spans="1:38" x14ac:dyDescent="0.2">
      <c r="A1035" s="2" t="str">
        <f>HYPERLINK("https://www.compass.com/listing/175-west-95th-street-unit-4g-manhattan-ny-10025/29400318542475153/","175 W 95th St, Unit 4G")</f>
        <v>175 W 95th St, Unit 4G</v>
      </c>
      <c r="B1035" s="2" t="str">
        <f t="shared" si="179"/>
        <v>175 W 95th</v>
      </c>
      <c r="C1035" s="1" t="s">
        <v>47</v>
      </c>
      <c r="D1035" s="1" t="s">
        <v>41</v>
      </c>
      <c r="E1035" s="3">
        <v>1374638</v>
      </c>
      <c r="F1035" s="1">
        <v>1428.9376299376299</v>
      </c>
      <c r="G1035" s="1">
        <v>4</v>
      </c>
      <c r="H1035" s="1">
        <v>2</v>
      </c>
      <c r="I1035" s="1">
        <v>2</v>
      </c>
      <c r="J1035" s="1">
        <v>2</v>
      </c>
      <c r="M1035" s="1">
        <v>962</v>
      </c>
      <c r="Q1035" s="1" t="s">
        <v>42</v>
      </c>
      <c r="S1035" s="1" t="s">
        <v>42</v>
      </c>
      <c r="T1035" s="1" t="s">
        <v>203</v>
      </c>
      <c r="U1035" s="1">
        <v>76</v>
      </c>
      <c r="V1035" s="5">
        <v>43703</v>
      </c>
      <c r="W1035" s="5">
        <v>42140</v>
      </c>
      <c r="X1035" s="1">
        <v>1350000</v>
      </c>
      <c r="Y1035" s="1">
        <v>1350000</v>
      </c>
      <c r="Z1035" s="5">
        <v>42217</v>
      </c>
      <c r="AA1035" s="1">
        <v>1374638</v>
      </c>
      <c r="AB1035" s="1" t="s">
        <v>794</v>
      </c>
      <c r="AC1035" s="5">
        <v>42318</v>
      </c>
      <c r="AF1035" s="1">
        <v>10025</v>
      </c>
      <c r="AI1035" s="1" t="s">
        <v>51</v>
      </c>
      <c r="AJ1035" s="1">
        <v>1971</v>
      </c>
      <c r="AK1035" s="1" t="s">
        <v>50</v>
      </c>
      <c r="AL1035" s="1">
        <v>226</v>
      </c>
    </row>
    <row r="1036" spans="1:38" x14ac:dyDescent="0.2">
      <c r="A1036" s="2" t="str">
        <f>HYPERLINK("https://www.compass.com/listing/175-west-95th-street-unit-20g-manhattan-ny-10025/29514269351505697/","175 W 95th St, Unit 20G")</f>
        <v>175 W 95th St, Unit 20G</v>
      </c>
      <c r="B1036" s="2" t="str">
        <f t="shared" si="179"/>
        <v>175 W 95th</v>
      </c>
      <c r="C1036" s="1" t="s">
        <v>47</v>
      </c>
      <c r="D1036" s="1" t="s">
        <v>41</v>
      </c>
      <c r="E1036" s="3">
        <v>1486645</v>
      </c>
      <c r="F1036" s="1">
        <v>1545.36902286902</v>
      </c>
      <c r="G1036" s="1">
        <v>4</v>
      </c>
      <c r="H1036" s="1">
        <v>2</v>
      </c>
      <c r="I1036" s="1">
        <v>2</v>
      </c>
      <c r="J1036" s="1">
        <v>2</v>
      </c>
      <c r="M1036" s="1">
        <v>962</v>
      </c>
      <c r="Q1036" s="1" t="s">
        <v>42</v>
      </c>
      <c r="S1036" s="1" t="s">
        <v>42</v>
      </c>
      <c r="T1036" s="1" t="s">
        <v>203</v>
      </c>
      <c r="U1036" s="1">
        <v>4</v>
      </c>
      <c r="V1036" s="5">
        <v>43703</v>
      </c>
      <c r="W1036" s="5">
        <v>42112</v>
      </c>
      <c r="X1036" s="1">
        <v>1460000</v>
      </c>
      <c r="Y1036" s="1">
        <v>1460000</v>
      </c>
      <c r="Z1036" s="5">
        <v>42116</v>
      </c>
      <c r="AA1036" s="1">
        <v>1486645</v>
      </c>
      <c r="AB1036" s="1" t="s">
        <v>795</v>
      </c>
      <c r="AC1036" s="5">
        <v>42341</v>
      </c>
      <c r="AF1036" s="1">
        <v>10025</v>
      </c>
      <c r="AI1036" s="1" t="s">
        <v>52</v>
      </c>
      <c r="AJ1036" s="1">
        <v>1971</v>
      </c>
      <c r="AK1036" s="1" t="s">
        <v>50</v>
      </c>
      <c r="AL1036" s="1">
        <v>226</v>
      </c>
    </row>
    <row r="1037" spans="1:38" x14ac:dyDescent="0.2">
      <c r="A1037" s="2" t="str">
        <f>HYPERLINK("https://www.compass.com/listing/175-west-95th-street-unit-16c-manhattan-ny-10025/29400326436034497/","175 W 95th St, Unit 16C")</f>
        <v>175 W 95th St, Unit 16C</v>
      </c>
      <c r="B1037" s="2" t="str">
        <f t="shared" si="179"/>
        <v>175 W 95th</v>
      </c>
      <c r="C1037" s="1" t="s">
        <v>47</v>
      </c>
      <c r="D1037" s="1" t="s">
        <v>41</v>
      </c>
      <c r="E1037" s="3">
        <v>2000861</v>
      </c>
      <c r="F1037" s="1">
        <v>1596.8563447725401</v>
      </c>
      <c r="G1037" s="1">
        <v>5</v>
      </c>
      <c r="H1037" s="1">
        <v>3</v>
      </c>
      <c r="I1037" s="1">
        <v>2</v>
      </c>
      <c r="J1037" s="1">
        <v>2</v>
      </c>
      <c r="M1037" s="4">
        <v>1253</v>
      </c>
      <c r="Q1037" s="1" t="s">
        <v>42</v>
      </c>
      <c r="S1037" s="1" t="s">
        <v>42</v>
      </c>
      <c r="T1037" s="1" t="s">
        <v>203</v>
      </c>
      <c r="U1037" s="1">
        <v>117</v>
      </c>
      <c r="V1037" s="5">
        <v>43703</v>
      </c>
      <c r="W1037" s="5">
        <v>42216</v>
      </c>
      <c r="X1037" s="1">
        <v>1965000</v>
      </c>
      <c r="Y1037" s="1">
        <v>1965000</v>
      </c>
      <c r="Z1037" s="5">
        <v>42333</v>
      </c>
      <c r="AA1037" s="1">
        <v>2000861</v>
      </c>
      <c r="AB1037" s="1" t="s">
        <v>796</v>
      </c>
      <c r="AC1037" s="5">
        <v>42378</v>
      </c>
      <c r="AF1037" s="1">
        <v>10025</v>
      </c>
      <c r="AI1037" s="1" t="s">
        <v>52</v>
      </c>
      <c r="AJ1037" s="1">
        <v>1971</v>
      </c>
      <c r="AK1037" s="1" t="s">
        <v>50</v>
      </c>
      <c r="AL1037" s="1">
        <v>226</v>
      </c>
    </row>
    <row r="1038" spans="1:38" x14ac:dyDescent="0.2">
      <c r="A1038" s="2" t="str">
        <f>HYPERLINK("https://www.compass.com/listing/225-west-86th-street-unit-615-manhattan-ny-10024/29508820355089761/","225 W 86th St, Unit 615")</f>
        <v>225 W 86th St, Unit 615</v>
      </c>
      <c r="B1038" s="2" t="str">
        <f>HYPERLINK("https://www.compass.com/building/the-belnord-manhattan-ny/292869672083214101/","The Belnord")</f>
        <v>The Belnord</v>
      </c>
      <c r="C1038" s="1" t="s">
        <v>47</v>
      </c>
      <c r="D1038" s="1" t="s">
        <v>41</v>
      </c>
      <c r="E1038" s="3">
        <v>3330000</v>
      </c>
      <c r="F1038" s="1">
        <v>1885.6172140430299</v>
      </c>
      <c r="G1038" s="1">
        <v>5</v>
      </c>
      <c r="H1038" s="1">
        <v>2</v>
      </c>
      <c r="I1038" s="1">
        <v>3</v>
      </c>
      <c r="J1038" s="1">
        <v>2.5</v>
      </c>
      <c r="K1038" s="1">
        <v>2</v>
      </c>
      <c r="L1038" s="1">
        <v>1</v>
      </c>
      <c r="M1038" s="4">
        <v>1766</v>
      </c>
      <c r="N1038" s="1">
        <v>1518</v>
      </c>
      <c r="O1038" s="1">
        <v>3886</v>
      </c>
      <c r="P1038" s="1">
        <v>2368</v>
      </c>
      <c r="Q1038" s="1" t="s">
        <v>42</v>
      </c>
      <c r="S1038" s="1" t="s">
        <v>42</v>
      </c>
      <c r="T1038" s="1" t="s">
        <v>203</v>
      </c>
      <c r="U1038" s="1">
        <v>70</v>
      </c>
      <c r="V1038" s="5">
        <v>43669</v>
      </c>
      <c r="W1038" s="5">
        <v>43280</v>
      </c>
      <c r="X1038" s="1">
        <v>4495000</v>
      </c>
      <c r="Y1038" s="1">
        <v>4495000</v>
      </c>
      <c r="Z1038" s="5">
        <v>43350</v>
      </c>
      <c r="AA1038" s="1">
        <v>3330000</v>
      </c>
      <c r="AB1038" s="1" t="s">
        <v>204</v>
      </c>
      <c r="AC1038" s="5">
        <v>43658</v>
      </c>
      <c r="AF1038" s="1">
        <v>10024</v>
      </c>
      <c r="AI1038" s="1" t="s">
        <v>67</v>
      </c>
      <c r="AJ1038" s="1">
        <v>1908</v>
      </c>
      <c r="AK1038" s="1" t="s">
        <v>81</v>
      </c>
      <c r="AL1038" s="1">
        <v>213</v>
      </c>
    </row>
    <row r="1039" spans="1:38" x14ac:dyDescent="0.2">
      <c r="A1039" s="2" t="str">
        <f>HYPERLINK("https://www.compass.com/listing/210-bowery-unit-ph-manhattan-ny-10012/29512770995096369/","210 Bowery, Unit PH")</f>
        <v>210 Bowery, Unit PH</v>
      </c>
      <c r="B1039" s="2" t="str">
        <f t="shared" ref="B1039:B1040" si="180">HYPERLINK("https://www.compass.com/building/210-bowery-manhattan-ny-10012/281914022184383861/","210 Bowery")</f>
        <v>210 Bowery</v>
      </c>
      <c r="C1039" s="1" t="s">
        <v>118</v>
      </c>
      <c r="D1039" s="1" t="s">
        <v>41</v>
      </c>
      <c r="E1039" s="3">
        <v>2925000</v>
      </c>
      <c r="F1039" s="1">
        <v>1991.15044247787</v>
      </c>
      <c r="G1039" s="1">
        <v>4</v>
      </c>
      <c r="H1039" s="1">
        <v>2</v>
      </c>
      <c r="I1039" s="1">
        <v>2</v>
      </c>
      <c r="J1039" s="1">
        <v>2</v>
      </c>
      <c r="K1039" s="1">
        <v>2</v>
      </c>
      <c r="M1039" s="4">
        <v>1469</v>
      </c>
      <c r="N1039" s="1">
        <v>1288</v>
      </c>
      <c r="O1039" s="1">
        <v>2726</v>
      </c>
      <c r="P1039" s="1">
        <v>1438</v>
      </c>
      <c r="Q1039" s="1" t="s">
        <v>42</v>
      </c>
      <c r="S1039" s="1" t="s">
        <v>42</v>
      </c>
      <c r="T1039" s="1" t="s">
        <v>203</v>
      </c>
      <c r="U1039" s="1">
        <v>11</v>
      </c>
      <c r="V1039" s="5">
        <v>43648</v>
      </c>
      <c r="W1039" s="5">
        <v>43266</v>
      </c>
      <c r="X1039" s="1">
        <v>3350000</v>
      </c>
      <c r="Y1039" s="1">
        <v>3350000</v>
      </c>
      <c r="Z1039" s="5">
        <v>43277</v>
      </c>
      <c r="AA1039" s="1">
        <v>2925000</v>
      </c>
      <c r="AB1039" s="1" t="s">
        <v>797</v>
      </c>
      <c r="AC1039" s="5">
        <v>43434</v>
      </c>
      <c r="AF1039" s="1">
        <v>10012</v>
      </c>
      <c r="AI1039" s="1" t="s">
        <v>798</v>
      </c>
      <c r="AJ1039" s="1">
        <v>2016</v>
      </c>
      <c r="AK1039" s="1" t="s">
        <v>91</v>
      </c>
      <c r="AL1039" s="1">
        <v>7</v>
      </c>
    </row>
    <row r="1040" spans="1:38" x14ac:dyDescent="0.2">
      <c r="A1040" s="2" t="str">
        <f>HYPERLINK("https://www.compass.com/listing/210-bowery-unit-5-manhattan-ny-10012/48528245204844241/","210 Bowery, Unit 5")</f>
        <v>210 Bowery, Unit 5</v>
      </c>
      <c r="B1040" s="2" t="str">
        <f t="shared" si="180"/>
        <v>210 Bowery</v>
      </c>
      <c r="C1040" s="1" t="s">
        <v>118</v>
      </c>
      <c r="D1040" s="1" t="s">
        <v>41</v>
      </c>
      <c r="E1040" s="3">
        <v>2975000</v>
      </c>
      <c r="F1040" s="1">
        <v>2025.1872021783499</v>
      </c>
      <c r="G1040" s="1">
        <v>4</v>
      </c>
      <c r="H1040" s="1">
        <v>2</v>
      </c>
      <c r="I1040" s="1">
        <v>2</v>
      </c>
      <c r="J1040" s="1">
        <v>2</v>
      </c>
      <c r="K1040" s="1">
        <v>2</v>
      </c>
      <c r="M1040" s="4">
        <v>1469</v>
      </c>
      <c r="N1040" s="1">
        <v>1074</v>
      </c>
      <c r="O1040" s="1">
        <v>2237</v>
      </c>
      <c r="P1040" s="1">
        <v>1163</v>
      </c>
      <c r="Q1040" s="1" t="s">
        <v>42</v>
      </c>
      <c r="S1040" s="1" t="s">
        <v>42</v>
      </c>
      <c r="T1040" s="1" t="s">
        <v>203</v>
      </c>
      <c r="U1040" s="1">
        <v>9</v>
      </c>
      <c r="V1040" s="5">
        <v>43648</v>
      </c>
      <c r="W1040" s="5">
        <v>43319</v>
      </c>
      <c r="X1040" s="1">
        <v>3050000</v>
      </c>
      <c r="Y1040" s="1">
        <v>3050000</v>
      </c>
      <c r="Z1040" s="5">
        <v>43328</v>
      </c>
      <c r="AA1040" s="1">
        <v>2975000</v>
      </c>
      <c r="AB1040" s="1" t="s">
        <v>204</v>
      </c>
      <c r="AC1040" s="5">
        <v>43452</v>
      </c>
      <c r="AF1040" s="1">
        <v>10012</v>
      </c>
      <c r="AI1040" s="1" t="s">
        <v>108</v>
      </c>
      <c r="AJ1040" s="1">
        <v>2016</v>
      </c>
      <c r="AL1040" s="1">
        <v>7</v>
      </c>
    </row>
    <row r="1041" spans="1:38" x14ac:dyDescent="0.2">
      <c r="A1041" s="2" t="str">
        <f>HYPERLINK("https://www.compass.com/listing/175-west-95th-street-unit-21h-manhattan-ny-10025/29400332400334897/","175 W 95th St, Unit 21H")</f>
        <v>175 W 95th St, Unit 21H</v>
      </c>
      <c r="B1041" s="2" t="str">
        <f>HYPERLINK("https://www.compass.com/building/175-w-95th-manhattan-ny/292876785429866517/","175 W 95th")</f>
        <v>175 W 95th</v>
      </c>
      <c r="C1041" s="1" t="s">
        <v>47</v>
      </c>
      <c r="D1041" s="1" t="s">
        <v>41</v>
      </c>
      <c r="E1041" s="3">
        <v>807500</v>
      </c>
      <c r="F1041" s="1">
        <v>1602.18253968253</v>
      </c>
      <c r="G1041" s="1">
        <v>2.5</v>
      </c>
      <c r="H1041" s="1" t="s">
        <v>69</v>
      </c>
      <c r="I1041" s="1">
        <v>1</v>
      </c>
      <c r="J1041" s="1">
        <v>1</v>
      </c>
      <c r="K1041" s="1">
        <v>1</v>
      </c>
      <c r="M1041" s="1">
        <v>504</v>
      </c>
      <c r="N1041" s="1">
        <v>574</v>
      </c>
      <c r="O1041" s="1">
        <v>811</v>
      </c>
      <c r="P1041" s="1">
        <v>237</v>
      </c>
      <c r="Q1041" s="1" t="s">
        <v>42</v>
      </c>
      <c r="S1041" s="1" t="s">
        <v>42</v>
      </c>
      <c r="T1041" s="1" t="s">
        <v>203</v>
      </c>
      <c r="U1041" s="1">
        <v>41</v>
      </c>
      <c r="V1041" s="5">
        <v>43637</v>
      </c>
      <c r="W1041" s="5">
        <v>42767</v>
      </c>
      <c r="X1041" s="1">
        <v>817500</v>
      </c>
      <c r="Y1041" s="1">
        <v>817500</v>
      </c>
      <c r="Z1041" s="5">
        <v>42808</v>
      </c>
      <c r="AA1041" s="1">
        <v>807500</v>
      </c>
      <c r="AB1041" s="1" t="s">
        <v>799</v>
      </c>
      <c r="AC1041" s="5">
        <v>42880</v>
      </c>
      <c r="AF1041" s="1">
        <v>10025</v>
      </c>
      <c r="AI1041" s="1" t="s">
        <v>100</v>
      </c>
      <c r="AJ1041" s="1">
        <v>1971</v>
      </c>
      <c r="AK1041" s="1" t="s">
        <v>81</v>
      </c>
      <c r="AL1041" s="1">
        <v>226</v>
      </c>
    </row>
    <row r="1042" spans="1:38" x14ac:dyDescent="0.2">
      <c r="A1042" s="2" t="str">
        <f>HYPERLINK("https://www.compass.com/listing/40-bleecker-street-unit-6d-manhattan-ny-10012/105782558939164833/","40 Bleecker St, Unit 6D")</f>
        <v>40 Bleecker St, Unit 6D</v>
      </c>
      <c r="B1042" s="2" t="str">
        <f t="shared" ref="B1042:B1043" si="181">HYPERLINK("https://www.compass.com/building/40-bleecker-manhattan-ny/282058881784380757/","40 Bleecker")</f>
        <v>40 Bleecker</v>
      </c>
      <c r="C1042" s="1" t="s">
        <v>92</v>
      </c>
      <c r="D1042" s="1" t="s">
        <v>41</v>
      </c>
      <c r="E1042" s="3">
        <v>4400000</v>
      </c>
      <c r="F1042" s="1">
        <v>2692.7784577723301</v>
      </c>
      <c r="G1042" s="1">
        <v>6</v>
      </c>
      <c r="H1042" s="1">
        <v>3</v>
      </c>
      <c r="I1042" s="1">
        <v>3</v>
      </c>
      <c r="J1042" s="1">
        <v>3</v>
      </c>
      <c r="K1042" s="1">
        <v>3</v>
      </c>
      <c r="M1042" s="4">
        <v>1634</v>
      </c>
      <c r="N1042" s="1">
        <v>2375</v>
      </c>
      <c r="O1042" s="1">
        <v>5180</v>
      </c>
      <c r="P1042" s="1">
        <v>2805</v>
      </c>
      <c r="Q1042" s="1" t="s">
        <v>42</v>
      </c>
      <c r="S1042" s="1" t="s">
        <v>42</v>
      </c>
      <c r="T1042" s="1" t="s">
        <v>203</v>
      </c>
      <c r="U1042" s="1">
        <v>308</v>
      </c>
      <c r="V1042" s="5">
        <v>44336</v>
      </c>
      <c r="W1042" s="5">
        <v>43838</v>
      </c>
      <c r="Y1042" s="1">
        <v>4995000</v>
      </c>
      <c r="Z1042" s="5">
        <v>44240</v>
      </c>
      <c r="AA1042" s="1">
        <v>4400000</v>
      </c>
      <c r="AB1042" s="1" t="s">
        <v>800</v>
      </c>
      <c r="AC1042" s="5">
        <v>44334</v>
      </c>
      <c r="AF1042" s="1">
        <v>10012</v>
      </c>
      <c r="AI1042" s="1" t="s">
        <v>58</v>
      </c>
      <c r="AJ1042" s="1">
        <v>2019</v>
      </c>
      <c r="AK1042" s="1" t="s">
        <v>94</v>
      </c>
      <c r="AL1042" s="1">
        <v>61</v>
      </c>
    </row>
    <row r="1043" spans="1:38" x14ac:dyDescent="0.2">
      <c r="A1043" s="2" t="str">
        <f>HYPERLINK("https://www.compass.com/listing/40-bleecker-street-unit-5b-manhattan-ny-10012/214709220182950289/","40 Bleecker St, Unit 5B")</f>
        <v>40 Bleecker St, Unit 5B</v>
      </c>
      <c r="B1043" s="2" t="str">
        <f t="shared" si="181"/>
        <v>40 Bleecker</v>
      </c>
      <c r="C1043" s="1" t="s">
        <v>92</v>
      </c>
      <c r="D1043" s="1" t="s">
        <v>41</v>
      </c>
      <c r="E1043" s="3">
        <v>6694994</v>
      </c>
      <c r="F1043" s="1">
        <v>3449.2497424008202</v>
      </c>
      <c r="G1043" s="1">
        <v>7</v>
      </c>
      <c r="H1043" s="1">
        <v>3</v>
      </c>
      <c r="I1043" s="1">
        <v>4</v>
      </c>
      <c r="J1043" s="1">
        <v>3.5</v>
      </c>
      <c r="K1043" s="1">
        <v>3</v>
      </c>
      <c r="L1043" s="1">
        <v>1</v>
      </c>
      <c r="M1043" s="4">
        <v>1941</v>
      </c>
      <c r="N1043" s="1">
        <v>2820</v>
      </c>
      <c r="O1043" s="1">
        <v>6152</v>
      </c>
      <c r="P1043" s="1">
        <v>3332</v>
      </c>
      <c r="Q1043" s="1" t="s">
        <v>42</v>
      </c>
      <c r="S1043" s="1" t="s">
        <v>42</v>
      </c>
      <c r="T1043" s="1" t="s">
        <v>203</v>
      </c>
      <c r="U1043" s="1">
        <v>1</v>
      </c>
      <c r="V1043" s="5">
        <v>44154</v>
      </c>
      <c r="W1043" s="5">
        <v>43547</v>
      </c>
      <c r="X1043" s="1">
        <v>6310000</v>
      </c>
      <c r="Y1043" s="1">
        <v>6310000</v>
      </c>
      <c r="Z1043" s="5">
        <v>43548</v>
      </c>
      <c r="AA1043" s="1">
        <v>6694993.75</v>
      </c>
      <c r="AB1043" s="1" t="s">
        <v>801</v>
      </c>
      <c r="AC1043" s="5">
        <v>44148</v>
      </c>
      <c r="AF1043" s="1">
        <v>10012</v>
      </c>
      <c r="AI1043" s="1" t="s">
        <v>58</v>
      </c>
      <c r="AJ1043" s="1">
        <v>2019</v>
      </c>
      <c r="AK1043" s="1" t="s">
        <v>50</v>
      </c>
      <c r="AL1043" s="1">
        <v>61</v>
      </c>
    </row>
    <row r="1044" spans="1:38" x14ac:dyDescent="0.2">
      <c r="A1044" s="2" t="str">
        <f>HYPERLINK("https://www.compass.com/listing/32-east-1st-street-unit-2b-manhattan-ny-10003/203452640162549745/","32 E 1st St, Unit 2B")</f>
        <v>32 E 1st St, Unit 2B</v>
      </c>
      <c r="B1044" s="2" t="str">
        <f t="shared" ref="B1044:B1046" si="182">HYPERLINK("https://www.compass.com/building/32-east-1st-street-manhattan-ny/292783157810310133/","32 East 1st Street")</f>
        <v>32 East 1st Street</v>
      </c>
      <c r="C1044" s="1" t="s">
        <v>88</v>
      </c>
      <c r="D1044" s="1" t="s">
        <v>41</v>
      </c>
      <c r="E1044" s="3">
        <v>1450000</v>
      </c>
      <c r="F1044" s="1">
        <v>2491.4089347078998</v>
      </c>
      <c r="G1044" s="1">
        <v>3</v>
      </c>
      <c r="H1044" s="1">
        <v>1</v>
      </c>
      <c r="I1044" s="1">
        <v>1</v>
      </c>
      <c r="J1044" s="1">
        <v>1</v>
      </c>
      <c r="K1044" s="1">
        <v>1</v>
      </c>
      <c r="M1044" s="1">
        <v>582</v>
      </c>
      <c r="N1044" s="1">
        <v>705</v>
      </c>
      <c r="O1044" s="1">
        <v>1476</v>
      </c>
      <c r="P1044" s="1">
        <v>771</v>
      </c>
      <c r="Q1044" s="1" t="s">
        <v>42</v>
      </c>
      <c r="S1044" s="1" t="s">
        <v>42</v>
      </c>
      <c r="T1044" s="1" t="s">
        <v>203</v>
      </c>
      <c r="U1044" s="1">
        <v>47</v>
      </c>
      <c r="V1044" s="5">
        <v>44369</v>
      </c>
      <c r="W1044" s="5">
        <v>43531</v>
      </c>
      <c r="X1044" s="1">
        <v>1450000</v>
      </c>
      <c r="Y1044" s="1">
        <v>1450000</v>
      </c>
      <c r="Z1044" s="5">
        <v>43578</v>
      </c>
      <c r="AA1044" s="1">
        <v>1450000</v>
      </c>
      <c r="AB1044" s="1" t="s">
        <v>802</v>
      </c>
      <c r="AC1044" s="5">
        <v>43627</v>
      </c>
      <c r="AF1044" s="1">
        <v>10003</v>
      </c>
      <c r="AI1044" s="1" t="s">
        <v>45</v>
      </c>
      <c r="AJ1044" s="1">
        <v>2019</v>
      </c>
      <c r="AK1044" s="1" t="s">
        <v>55</v>
      </c>
      <c r="AL1044" s="1">
        <v>30</v>
      </c>
    </row>
    <row r="1045" spans="1:38" x14ac:dyDescent="0.2">
      <c r="A1045" s="2" t="str">
        <f>HYPERLINK("https://www.compass.com/listing/32-east-1st-street-unit-5e-manhattan-ny-10003/73653864762564001/","32 E 1st St, Unit 5E")</f>
        <v>32 E 1st St, Unit 5E</v>
      </c>
      <c r="B1045" s="2" t="str">
        <f t="shared" si="182"/>
        <v>32 East 1st Street</v>
      </c>
      <c r="C1045" s="1" t="s">
        <v>88</v>
      </c>
      <c r="D1045" s="1" t="s">
        <v>41</v>
      </c>
      <c r="E1045" s="3">
        <v>1198356</v>
      </c>
      <c r="F1045" s="1">
        <v>2475.9421487603299</v>
      </c>
      <c r="G1045" s="1">
        <v>3</v>
      </c>
      <c r="H1045" s="1">
        <v>1</v>
      </c>
      <c r="I1045" s="1">
        <v>1</v>
      </c>
      <c r="J1045" s="1">
        <v>1</v>
      </c>
      <c r="K1045" s="1">
        <v>1</v>
      </c>
      <c r="M1045" s="1">
        <v>484</v>
      </c>
      <c r="N1045" s="1">
        <v>640</v>
      </c>
      <c r="O1045" s="1">
        <v>1127</v>
      </c>
      <c r="P1045" s="1">
        <v>487</v>
      </c>
      <c r="Q1045" s="1" t="s">
        <v>42</v>
      </c>
      <c r="S1045" s="1" t="s">
        <v>42</v>
      </c>
      <c r="T1045" s="1" t="s">
        <v>203</v>
      </c>
      <c r="V1045" s="5">
        <v>44341</v>
      </c>
      <c r="W1045" s="5">
        <v>43354</v>
      </c>
      <c r="X1045" s="1">
        <v>1225000</v>
      </c>
      <c r="Y1045" s="1">
        <v>1225000</v>
      </c>
      <c r="Z1045" s="5">
        <v>43354</v>
      </c>
      <c r="AA1045" s="1">
        <v>1198356</v>
      </c>
      <c r="AB1045" s="1" t="s">
        <v>803</v>
      </c>
      <c r="AC1045" s="5">
        <v>43571</v>
      </c>
      <c r="AF1045" s="1">
        <v>10003</v>
      </c>
      <c r="AI1045" s="1" t="s">
        <v>45</v>
      </c>
      <c r="AJ1045" s="1">
        <v>2019</v>
      </c>
      <c r="AK1045" s="1" t="s">
        <v>55</v>
      </c>
      <c r="AL1045" s="1">
        <v>30</v>
      </c>
    </row>
    <row r="1046" spans="1:38" x14ac:dyDescent="0.2">
      <c r="A1046" s="2" t="str">
        <f>HYPERLINK("https://www.compass.com/listing/32-east-1st-street-unit-2b-manhattan-ny-10003/803363267958902937/","32 E 1st St, Unit 2B")</f>
        <v>32 E 1st St, Unit 2B</v>
      </c>
      <c r="B1046" s="2" t="str">
        <f t="shared" si="182"/>
        <v>32 East 1st Street</v>
      </c>
      <c r="C1046" s="1" t="s">
        <v>88</v>
      </c>
      <c r="D1046" s="1" t="s">
        <v>41</v>
      </c>
      <c r="E1046" s="3">
        <v>1450000</v>
      </c>
      <c r="F1046" s="1">
        <v>2491.4089347078998</v>
      </c>
      <c r="G1046" s="1">
        <v>3</v>
      </c>
      <c r="H1046" s="1">
        <v>1</v>
      </c>
      <c r="I1046" s="1">
        <v>1</v>
      </c>
      <c r="J1046" s="1">
        <v>1</v>
      </c>
      <c r="K1046" s="1">
        <v>1</v>
      </c>
      <c r="M1046" s="1">
        <v>582</v>
      </c>
      <c r="N1046" s="1">
        <v>706</v>
      </c>
      <c r="O1046" s="1">
        <v>1244</v>
      </c>
      <c r="P1046" s="1">
        <v>538</v>
      </c>
      <c r="Q1046" s="1" t="s">
        <v>42</v>
      </c>
      <c r="S1046" s="1" t="s">
        <v>42</v>
      </c>
      <c r="T1046" s="1" t="s">
        <v>203</v>
      </c>
      <c r="V1046" s="5">
        <v>44369</v>
      </c>
      <c r="W1046" s="5">
        <v>42992</v>
      </c>
      <c r="X1046" s="1">
        <v>1375000</v>
      </c>
      <c r="Y1046" s="1">
        <v>1375000</v>
      </c>
      <c r="Z1046" s="5">
        <v>42993</v>
      </c>
      <c r="AA1046" s="1">
        <v>1450000</v>
      </c>
      <c r="AB1046" s="1" t="s">
        <v>802</v>
      </c>
      <c r="AC1046" s="5">
        <v>43627</v>
      </c>
      <c r="AF1046" s="1">
        <v>10003</v>
      </c>
      <c r="AI1046" s="1" t="s">
        <v>45</v>
      </c>
      <c r="AJ1046" s="1">
        <v>2019</v>
      </c>
      <c r="AK1046" s="1" t="s">
        <v>55</v>
      </c>
      <c r="AL1046" s="1">
        <v>30</v>
      </c>
    </row>
    <row r="1047" spans="1:38" x14ac:dyDescent="0.2">
      <c r="A1047" s="2" t="str">
        <f>HYPERLINK("https://www.compass.com/listing/40-bleecker-street-unit-5c-manhattan-ny-10012/29515237841472865/","40 Bleecker St, Unit 5C")</f>
        <v>40 Bleecker St, Unit 5C</v>
      </c>
      <c r="B1047" s="2" t="str">
        <f t="shared" ref="B1047:B1050" si="183">HYPERLINK("https://www.compass.com/building/40-bleecker-manhattan-ny/282058881784380757/","40 Bleecker")</f>
        <v>40 Bleecker</v>
      </c>
      <c r="C1047" s="1" t="s">
        <v>92</v>
      </c>
      <c r="D1047" s="1" t="s">
        <v>41</v>
      </c>
      <c r="E1047" s="3">
        <v>3207488</v>
      </c>
      <c r="F1047" s="1">
        <v>2934.5722781335699</v>
      </c>
      <c r="G1047" s="1">
        <v>4</v>
      </c>
      <c r="H1047" s="1">
        <v>2</v>
      </c>
      <c r="I1047" s="1">
        <v>2</v>
      </c>
      <c r="J1047" s="1">
        <v>2</v>
      </c>
      <c r="K1047" s="1">
        <v>2</v>
      </c>
      <c r="M1047" s="4">
        <v>1093</v>
      </c>
      <c r="N1047" s="1">
        <v>1588</v>
      </c>
      <c r="O1047" s="1">
        <v>3464</v>
      </c>
      <c r="P1047" s="1">
        <v>1876</v>
      </c>
      <c r="Q1047" s="1" t="s">
        <v>42</v>
      </c>
      <c r="S1047" s="1" t="s">
        <v>42</v>
      </c>
      <c r="T1047" s="1" t="s">
        <v>203</v>
      </c>
      <c r="V1047" s="5">
        <v>44225</v>
      </c>
      <c r="W1047" s="5">
        <v>43185</v>
      </c>
      <c r="X1047" s="1">
        <v>3145000</v>
      </c>
      <c r="Y1047" s="1">
        <v>3145000</v>
      </c>
      <c r="Z1047" s="5">
        <v>43186</v>
      </c>
      <c r="AA1047" s="1">
        <v>3207487.5</v>
      </c>
      <c r="AB1047" s="1" t="s">
        <v>804</v>
      </c>
      <c r="AC1047" s="5">
        <v>44160</v>
      </c>
      <c r="AF1047" s="1">
        <v>10012</v>
      </c>
      <c r="AI1047" s="1" t="s">
        <v>58</v>
      </c>
      <c r="AJ1047" s="1">
        <v>2019</v>
      </c>
      <c r="AK1047" s="1" t="s">
        <v>50</v>
      </c>
      <c r="AL1047" s="1">
        <v>61</v>
      </c>
    </row>
    <row r="1048" spans="1:38" x14ac:dyDescent="0.2">
      <c r="A1048" s="2" t="str">
        <f>HYPERLINK("https://www.compass.com/listing/40-bleecker-street-unit-3c-manhattan-ny-10012/29515238780997009/","40 Bleecker St, Unit 3C")</f>
        <v>40 Bleecker St, Unit 3C</v>
      </c>
      <c r="B1048" s="2" t="str">
        <f t="shared" si="183"/>
        <v>40 Bleecker</v>
      </c>
      <c r="C1048" s="1" t="s">
        <v>92</v>
      </c>
      <c r="D1048" s="1" t="s">
        <v>41</v>
      </c>
      <c r="E1048" s="3">
        <v>3003838</v>
      </c>
      <c r="F1048" s="1">
        <v>2748.25022872827</v>
      </c>
      <c r="G1048" s="1">
        <v>5</v>
      </c>
      <c r="H1048" s="1">
        <v>2</v>
      </c>
      <c r="I1048" s="1">
        <v>2</v>
      </c>
      <c r="J1048" s="1">
        <v>2</v>
      </c>
      <c r="K1048" s="1">
        <v>2</v>
      </c>
      <c r="M1048" s="4">
        <v>1093</v>
      </c>
      <c r="N1048" s="1">
        <v>1588</v>
      </c>
      <c r="O1048" s="1">
        <v>3464</v>
      </c>
      <c r="P1048" s="1">
        <v>1876</v>
      </c>
      <c r="Q1048" s="1" t="s">
        <v>42</v>
      </c>
      <c r="S1048" s="1" t="s">
        <v>42</v>
      </c>
      <c r="T1048" s="1" t="s">
        <v>203</v>
      </c>
      <c r="V1048" s="5">
        <v>44225</v>
      </c>
      <c r="W1048" s="5">
        <v>43182</v>
      </c>
      <c r="X1048" s="1">
        <v>2950000</v>
      </c>
      <c r="Y1048" s="1">
        <v>2950000</v>
      </c>
      <c r="Z1048" s="5">
        <v>43183</v>
      </c>
      <c r="AA1048" s="1">
        <v>3003837.5</v>
      </c>
      <c r="AB1048" s="1" t="s">
        <v>805</v>
      </c>
      <c r="AC1048" s="5">
        <v>44152</v>
      </c>
      <c r="AF1048" s="1">
        <v>10012</v>
      </c>
      <c r="AI1048" s="1" t="s">
        <v>58</v>
      </c>
      <c r="AJ1048" s="1">
        <v>2019</v>
      </c>
      <c r="AK1048" s="1" t="s">
        <v>50</v>
      </c>
      <c r="AL1048" s="1">
        <v>61</v>
      </c>
    </row>
    <row r="1049" spans="1:38" x14ac:dyDescent="0.2">
      <c r="A1049" s="2" t="str">
        <f>HYPERLINK("https://www.compass.com/listing/40-bleecker-street-unit-7c-manhattan-ny-10012/29515239745686961/","40 Bleecker St, Unit 7C")</f>
        <v>40 Bleecker St, Unit 7C</v>
      </c>
      <c r="B1049" s="2" t="str">
        <f t="shared" si="183"/>
        <v>40 Bleecker</v>
      </c>
      <c r="C1049" s="1" t="s">
        <v>92</v>
      </c>
      <c r="D1049" s="1" t="s">
        <v>41</v>
      </c>
      <c r="E1049" s="3">
        <v>3512963</v>
      </c>
      <c r="F1049" s="1">
        <v>3214.0553522415298</v>
      </c>
      <c r="G1049" s="1">
        <v>4</v>
      </c>
      <c r="H1049" s="1">
        <v>2</v>
      </c>
      <c r="I1049" s="1">
        <v>2</v>
      </c>
      <c r="J1049" s="1">
        <v>2</v>
      </c>
      <c r="K1049" s="1">
        <v>2</v>
      </c>
      <c r="M1049" s="4">
        <v>1093</v>
      </c>
      <c r="N1049" s="1">
        <v>1588</v>
      </c>
      <c r="O1049" s="1">
        <v>3464</v>
      </c>
      <c r="P1049" s="1">
        <v>1876</v>
      </c>
      <c r="Q1049" s="1" t="s">
        <v>42</v>
      </c>
      <c r="S1049" s="1" t="s">
        <v>42</v>
      </c>
      <c r="T1049" s="1" t="s">
        <v>203</v>
      </c>
      <c r="U1049" s="1">
        <v>1</v>
      </c>
      <c r="V1049" s="5">
        <v>44225</v>
      </c>
      <c r="W1049" s="5">
        <v>43153</v>
      </c>
      <c r="X1049" s="1">
        <v>3450000</v>
      </c>
      <c r="Y1049" s="1">
        <v>3450000</v>
      </c>
      <c r="Z1049" s="5">
        <v>43154</v>
      </c>
      <c r="AA1049" s="1">
        <v>3512962.5</v>
      </c>
      <c r="AB1049" s="1" t="s">
        <v>806</v>
      </c>
      <c r="AC1049" s="5">
        <v>44187</v>
      </c>
      <c r="AF1049" s="1">
        <v>10012</v>
      </c>
      <c r="AI1049" s="1" t="s">
        <v>58</v>
      </c>
      <c r="AJ1049" s="1">
        <v>2019</v>
      </c>
      <c r="AK1049" s="1" t="s">
        <v>50</v>
      </c>
      <c r="AL1049" s="1">
        <v>61</v>
      </c>
    </row>
    <row r="1050" spans="1:38" x14ac:dyDescent="0.2">
      <c r="A1050" s="2" t="str">
        <f>HYPERLINK("https://www.compass.com/listing/40-bleecker-street-unit-3f-manhattan-ny-10012/756602035641824273/","40 Bleecker St, Unit 3F")</f>
        <v>40 Bleecker St, Unit 3F</v>
      </c>
      <c r="B1050" s="2" t="str">
        <f t="shared" si="183"/>
        <v>40 Bleecker</v>
      </c>
      <c r="C1050" s="1" t="s">
        <v>92</v>
      </c>
      <c r="D1050" s="1" t="s">
        <v>41</v>
      </c>
      <c r="E1050" s="3">
        <v>3890000</v>
      </c>
      <c r="F1050" s="1">
        <v>2621.2938005390802</v>
      </c>
      <c r="G1050" s="1">
        <v>4</v>
      </c>
      <c r="H1050" s="1">
        <v>2</v>
      </c>
      <c r="I1050" s="1">
        <v>3</v>
      </c>
      <c r="J1050" s="1">
        <v>2.5</v>
      </c>
      <c r="K1050" s="1">
        <v>2</v>
      </c>
      <c r="L1050" s="1">
        <v>1</v>
      </c>
      <c r="M1050" s="4">
        <v>1484</v>
      </c>
      <c r="N1050" s="1">
        <v>2157</v>
      </c>
      <c r="O1050" s="1">
        <v>4705</v>
      </c>
      <c r="P1050" s="1">
        <v>2548</v>
      </c>
      <c r="Q1050" s="1" t="s">
        <v>42</v>
      </c>
      <c r="S1050" s="1" t="s">
        <v>42</v>
      </c>
      <c r="T1050" s="1" t="s">
        <v>203</v>
      </c>
      <c r="U1050" s="1">
        <v>13</v>
      </c>
      <c r="V1050" s="5">
        <v>44364</v>
      </c>
      <c r="W1050" s="5">
        <v>44295</v>
      </c>
      <c r="Z1050" s="5">
        <v>44309</v>
      </c>
      <c r="AA1050" s="1">
        <v>3890000</v>
      </c>
      <c r="AB1050" s="1" t="s">
        <v>807</v>
      </c>
      <c r="AC1050" s="5">
        <v>44362</v>
      </c>
      <c r="AF1050" s="1">
        <v>10012</v>
      </c>
      <c r="AI1050" s="1" t="s">
        <v>58</v>
      </c>
      <c r="AJ1050" s="1">
        <v>2019</v>
      </c>
      <c r="AK1050" s="1" t="s">
        <v>94</v>
      </c>
      <c r="AL1050" s="1">
        <v>61</v>
      </c>
    </row>
    <row r="1051" spans="1:38" x14ac:dyDescent="0.2">
      <c r="A1051" s="2" t="str">
        <f>HYPERLINK("https://www.compass.com/listing/175-west-95th-street-unit-5hj-manhattan-ny-10025/29400319465222049/","175 W 95th St, Unit 5HJ")</f>
        <v>175 W 95th St, Unit 5HJ</v>
      </c>
      <c r="B1051" s="2" t="str">
        <f t="shared" ref="B1051:B1052" si="184">HYPERLINK("https://www.compass.com/building/175-w-95th-manhattan-ny/292876785429866517/","175 W 95th")</f>
        <v>175 W 95th</v>
      </c>
      <c r="C1051" s="1" t="s">
        <v>47</v>
      </c>
      <c r="D1051" s="1" t="s">
        <v>41</v>
      </c>
      <c r="E1051" s="3">
        <v>1420459</v>
      </c>
      <c r="F1051" s="1">
        <v>1398.0895669291299</v>
      </c>
      <c r="G1051" s="1">
        <v>4</v>
      </c>
      <c r="H1051" s="1">
        <v>2</v>
      </c>
      <c r="I1051" s="1">
        <v>2</v>
      </c>
      <c r="J1051" s="1">
        <v>2</v>
      </c>
      <c r="M1051" s="4">
        <v>1016</v>
      </c>
      <c r="Q1051" s="1" t="s">
        <v>42</v>
      </c>
      <c r="S1051" s="1" t="s">
        <v>42</v>
      </c>
      <c r="T1051" s="1" t="s">
        <v>203</v>
      </c>
      <c r="U1051" s="1">
        <v>62</v>
      </c>
      <c r="V1051" s="5">
        <v>43703</v>
      </c>
      <c r="W1051" s="5">
        <v>42253</v>
      </c>
      <c r="X1051" s="1">
        <v>1395000</v>
      </c>
      <c r="Y1051" s="1">
        <v>1395000</v>
      </c>
      <c r="Z1051" s="5">
        <v>42315</v>
      </c>
      <c r="AA1051" s="1">
        <v>1420459</v>
      </c>
      <c r="AB1051" s="1" t="s">
        <v>808</v>
      </c>
      <c r="AC1051" s="5">
        <v>42353</v>
      </c>
      <c r="AF1051" s="1">
        <v>10025</v>
      </c>
      <c r="AI1051" s="1" t="s">
        <v>49</v>
      </c>
      <c r="AJ1051" s="1">
        <v>1971</v>
      </c>
      <c r="AK1051" s="1" t="s">
        <v>50</v>
      </c>
      <c r="AL1051" s="1">
        <v>226</v>
      </c>
    </row>
    <row r="1052" spans="1:38" x14ac:dyDescent="0.2">
      <c r="A1052" s="2" t="str">
        <f>HYPERLINK("https://www.compass.com/listing/175-west-95th-street-unit-14hj-manhattan-ny-10025/29400325404235697/","175 W 95th St, Unit 14HJ")</f>
        <v>175 W 95th St, Unit 14HJ</v>
      </c>
      <c r="B1052" s="2" t="str">
        <f t="shared" si="184"/>
        <v>175 W 95th</v>
      </c>
      <c r="C1052" s="1" t="s">
        <v>47</v>
      </c>
      <c r="D1052" s="1" t="s">
        <v>41</v>
      </c>
      <c r="E1052" s="3">
        <v>1522284</v>
      </c>
      <c r="F1052" s="1">
        <v>1498.31102362204</v>
      </c>
      <c r="G1052" s="1">
        <v>4</v>
      </c>
      <c r="H1052" s="1">
        <v>2</v>
      </c>
      <c r="I1052" s="1">
        <v>2</v>
      </c>
      <c r="J1052" s="1">
        <v>2</v>
      </c>
      <c r="M1052" s="4">
        <v>1016</v>
      </c>
      <c r="Q1052" s="1" t="s">
        <v>42</v>
      </c>
      <c r="S1052" s="1" t="s">
        <v>42</v>
      </c>
      <c r="T1052" s="1" t="s">
        <v>203</v>
      </c>
      <c r="U1052" s="1">
        <v>6</v>
      </c>
      <c r="V1052" s="5">
        <v>43703</v>
      </c>
      <c r="W1052" s="5">
        <v>42253</v>
      </c>
      <c r="X1052" s="1">
        <v>1495000</v>
      </c>
      <c r="Y1052" s="1">
        <v>1495000</v>
      </c>
      <c r="Z1052" s="5">
        <v>42259</v>
      </c>
      <c r="AA1052" s="1">
        <v>1522284</v>
      </c>
      <c r="AB1052" s="1" t="s">
        <v>809</v>
      </c>
      <c r="AC1052" s="5">
        <v>42340</v>
      </c>
      <c r="AF1052" s="1">
        <v>10025</v>
      </c>
      <c r="AI1052" s="1" t="s">
        <v>163</v>
      </c>
      <c r="AJ1052" s="1">
        <v>1971</v>
      </c>
      <c r="AK1052" s="1" t="s">
        <v>50</v>
      </c>
      <c r="AL1052" s="1">
        <v>226</v>
      </c>
    </row>
    <row r="1053" spans="1:38" x14ac:dyDescent="0.2">
      <c r="A1053" s="2" t="str">
        <f>HYPERLINK("https://www.compass.com/listing/40-bleecker-street-unit-pha-manhattan-ny-10012/29515242161633153/","40 Bleecker St, Unit PHA")</f>
        <v>40 Bleecker St, Unit PHA</v>
      </c>
      <c r="B1053" s="2" t="str">
        <f>HYPERLINK("https://www.compass.com/building/40-bleecker-manhattan-ny/282058881784380757/","40 Bleecker")</f>
        <v>40 Bleecker</v>
      </c>
      <c r="C1053" s="1" t="s">
        <v>92</v>
      </c>
      <c r="D1053" s="1" t="s">
        <v>41</v>
      </c>
      <c r="E1053" s="3">
        <v>10676351</v>
      </c>
      <c r="F1053" s="1">
        <v>3636.3594175749299</v>
      </c>
      <c r="G1053" s="1">
        <v>6</v>
      </c>
      <c r="H1053" s="1">
        <v>4</v>
      </c>
      <c r="I1053" s="1">
        <v>5</v>
      </c>
      <c r="J1053" s="1">
        <v>4.5</v>
      </c>
      <c r="K1053" s="1">
        <v>4</v>
      </c>
      <c r="L1053" s="1">
        <v>1</v>
      </c>
      <c r="M1053" s="4">
        <v>2936</v>
      </c>
      <c r="N1053" s="1">
        <v>4592</v>
      </c>
      <c r="O1053" s="1">
        <v>10017</v>
      </c>
      <c r="P1053" s="1">
        <v>5425</v>
      </c>
      <c r="Q1053" s="1" t="s">
        <v>42</v>
      </c>
      <c r="S1053" s="1" t="s">
        <v>42</v>
      </c>
      <c r="T1053" s="1" t="s">
        <v>203</v>
      </c>
      <c r="V1053" s="5">
        <v>44193</v>
      </c>
      <c r="W1053" s="5">
        <v>43140</v>
      </c>
      <c r="X1053" s="1">
        <v>10185000</v>
      </c>
      <c r="Y1053" s="1">
        <v>10185000</v>
      </c>
      <c r="Z1053" s="5">
        <v>43141</v>
      </c>
      <c r="AA1053" s="1">
        <v>10676351.25</v>
      </c>
      <c r="AB1053" s="1" t="s">
        <v>810</v>
      </c>
      <c r="AC1053" s="5">
        <v>44186</v>
      </c>
      <c r="AF1053" s="1">
        <v>10012</v>
      </c>
      <c r="AI1053" s="1" t="s">
        <v>157</v>
      </c>
      <c r="AJ1053" s="1">
        <v>2019</v>
      </c>
      <c r="AK1053" s="1" t="s">
        <v>50</v>
      </c>
      <c r="AL1053" s="1">
        <v>61</v>
      </c>
    </row>
    <row r="1054" spans="1:38" x14ac:dyDescent="0.2">
      <c r="A1054" s="2" t="str">
        <f>HYPERLINK("https://www.compass.com/listing/210-bowery-unit-6-manhattan-ny-10012/29512770668029713/","210 Bowery, Unit 6")</f>
        <v>210 Bowery, Unit 6</v>
      </c>
      <c r="B1054" s="2" t="str">
        <f>HYPERLINK("https://www.compass.com/building/210-bowery-manhattan-ny-10012/281914022184383861/","210 Bowery")</f>
        <v>210 Bowery</v>
      </c>
      <c r="C1054" s="1" t="s">
        <v>118</v>
      </c>
      <c r="D1054" s="1" t="s">
        <v>41</v>
      </c>
      <c r="E1054" s="3">
        <v>2550000</v>
      </c>
      <c r="F1054" s="1">
        <v>1735.8747447242999</v>
      </c>
      <c r="G1054" s="1">
        <v>4</v>
      </c>
      <c r="H1054" s="1">
        <v>2</v>
      </c>
      <c r="I1054" s="1">
        <v>2</v>
      </c>
      <c r="J1054" s="1">
        <v>2</v>
      </c>
      <c r="K1054" s="1">
        <v>2</v>
      </c>
      <c r="M1054" s="4">
        <v>1469</v>
      </c>
      <c r="N1054" s="1">
        <v>958</v>
      </c>
      <c r="O1054" s="1">
        <v>2013</v>
      </c>
      <c r="P1054" s="1">
        <v>1055</v>
      </c>
      <c r="Q1054" s="1" t="s">
        <v>42</v>
      </c>
      <c r="S1054" s="1" t="s">
        <v>42</v>
      </c>
      <c r="T1054" s="1" t="s">
        <v>203</v>
      </c>
      <c r="U1054" s="1">
        <v>433</v>
      </c>
      <c r="V1054" s="5">
        <v>44288</v>
      </c>
      <c r="W1054" s="5">
        <v>42984</v>
      </c>
      <c r="X1054" s="1">
        <v>2700000</v>
      </c>
      <c r="Y1054" s="1">
        <v>2700000</v>
      </c>
      <c r="Z1054" s="5">
        <v>43417</v>
      </c>
      <c r="AA1054" s="1">
        <v>2553000</v>
      </c>
      <c r="AB1054" s="1" t="s">
        <v>204</v>
      </c>
      <c r="AC1054" s="5">
        <v>43455</v>
      </c>
      <c r="AF1054" s="1">
        <v>10012</v>
      </c>
      <c r="AI1054" s="1" t="s">
        <v>787</v>
      </c>
      <c r="AJ1054" s="1">
        <v>2016</v>
      </c>
      <c r="AL1054" s="1">
        <v>7</v>
      </c>
    </row>
    <row r="1055" spans="1:38" x14ac:dyDescent="0.2">
      <c r="A1055" s="2" t="str">
        <f>HYPERLINK("https://www.compass.com/listing/32-east-1st-street-unit-6c-manhattan-ny-10003/29515143956195281/","32 E 1st St, Unit 6C")</f>
        <v>32 E 1st St, Unit 6C</v>
      </c>
      <c r="B1055" s="2" t="str">
        <f t="shared" ref="B1055:B1056" si="185">HYPERLINK("https://www.compass.com/building/32-east-1st-street-manhattan-ny/292783157810310133/","32 East 1st Street")</f>
        <v>32 East 1st Street</v>
      </c>
      <c r="C1055" s="1" t="s">
        <v>88</v>
      </c>
      <c r="D1055" s="1" t="s">
        <v>41</v>
      </c>
      <c r="E1055" s="3">
        <v>3614787</v>
      </c>
      <c r="F1055" s="1">
        <v>2719.93002257336</v>
      </c>
      <c r="G1055" s="1">
        <v>4</v>
      </c>
      <c r="H1055" s="1">
        <v>2</v>
      </c>
      <c r="I1055" s="1">
        <v>3</v>
      </c>
      <c r="J1055" s="1">
        <v>2.5</v>
      </c>
      <c r="K1055" s="1">
        <v>2</v>
      </c>
      <c r="L1055" s="1">
        <v>1</v>
      </c>
      <c r="M1055" s="4">
        <v>1329</v>
      </c>
      <c r="N1055" s="1">
        <v>1802</v>
      </c>
      <c r="O1055" s="1">
        <v>3773</v>
      </c>
      <c r="P1055" s="1">
        <v>1971</v>
      </c>
      <c r="Q1055" s="1" t="s">
        <v>42</v>
      </c>
      <c r="S1055" s="1" t="s">
        <v>42</v>
      </c>
      <c r="T1055" s="1" t="s">
        <v>203</v>
      </c>
      <c r="U1055" s="1">
        <v>4</v>
      </c>
      <c r="V1055" s="5">
        <v>43644</v>
      </c>
      <c r="W1055" s="5">
        <v>43252</v>
      </c>
      <c r="X1055" s="1">
        <v>3550000</v>
      </c>
      <c r="Y1055" s="1">
        <v>3550000</v>
      </c>
      <c r="Z1055" s="5">
        <v>43256</v>
      </c>
      <c r="AA1055" s="1">
        <v>3614787</v>
      </c>
      <c r="AB1055" s="1" t="s">
        <v>811</v>
      </c>
      <c r="AC1055" s="5">
        <v>43561</v>
      </c>
      <c r="AF1055" s="1">
        <v>10003</v>
      </c>
      <c r="AI1055" s="1" t="s">
        <v>45</v>
      </c>
      <c r="AJ1055" s="1">
        <v>2019</v>
      </c>
      <c r="AK1055" s="1" t="s">
        <v>55</v>
      </c>
      <c r="AL1055" s="1">
        <v>30</v>
      </c>
    </row>
    <row r="1056" spans="1:38" x14ac:dyDescent="0.2">
      <c r="A1056" s="2" t="str">
        <f>HYPERLINK("https://www.compass.com/listing/32-east-1st-street-unit-6a-manhattan-ny-10003/29515145424242769/","32 E 1st St, Unit 6A")</f>
        <v>32 E 1st St, Unit 6A</v>
      </c>
      <c r="B1056" s="2" t="str">
        <f t="shared" si="185"/>
        <v>32 East 1st Street</v>
      </c>
      <c r="C1056" s="1" t="s">
        <v>88</v>
      </c>
      <c r="D1056" s="1" t="s">
        <v>41</v>
      </c>
      <c r="E1056" s="3">
        <v>4327562</v>
      </c>
      <c r="F1056" s="1">
        <v>2718.31783919598</v>
      </c>
      <c r="G1056" s="1">
        <v>6</v>
      </c>
      <c r="H1056" s="1">
        <v>2</v>
      </c>
      <c r="I1056" s="1">
        <v>3</v>
      </c>
      <c r="J1056" s="1">
        <v>3</v>
      </c>
      <c r="K1056" s="1">
        <v>3</v>
      </c>
      <c r="M1056" s="4">
        <v>1592</v>
      </c>
      <c r="N1056" s="1">
        <v>2314</v>
      </c>
      <c r="O1056" s="1">
        <v>4844</v>
      </c>
      <c r="P1056" s="1">
        <v>2530</v>
      </c>
      <c r="Q1056" s="1" t="s">
        <v>42</v>
      </c>
      <c r="S1056" s="1" t="s">
        <v>42</v>
      </c>
      <c r="T1056" s="1" t="s">
        <v>203</v>
      </c>
      <c r="V1056" s="5">
        <v>43818</v>
      </c>
      <c r="W1056" s="5">
        <v>43078</v>
      </c>
      <c r="X1056" s="1">
        <v>4250000</v>
      </c>
      <c r="Y1056" s="1">
        <v>4250000</v>
      </c>
      <c r="Z1056" s="5">
        <v>43078</v>
      </c>
      <c r="AA1056" s="1">
        <v>4327562.5</v>
      </c>
      <c r="AB1056" s="1" t="s">
        <v>812</v>
      </c>
      <c r="AC1056" s="5">
        <v>43725</v>
      </c>
      <c r="AF1056" s="1">
        <v>10003</v>
      </c>
      <c r="AI1056" s="1" t="s">
        <v>45</v>
      </c>
      <c r="AJ1056" s="1">
        <v>2019</v>
      </c>
      <c r="AK1056" s="1" t="s">
        <v>55</v>
      </c>
      <c r="AL1056" s="1">
        <v>30</v>
      </c>
    </row>
    <row r="1057" spans="1:38" x14ac:dyDescent="0.2">
      <c r="A1057" s="2" t="str">
        <f>HYPERLINK("https://www.compass.com/listing/150-east-23rd-street-unit-8a-manhattan-ny-10010/759875031419415225/","150 E 23rd St, Unit 8A")</f>
        <v>150 E 23rd St, Unit 8A</v>
      </c>
      <c r="B1057" s="2" t="str">
        <f>HYPERLINK("https://www.compass.com/building/celeste-gramercy-manhattan-ny/292795972759607813/","Celeste Gramercy")</f>
        <v>Celeste Gramercy</v>
      </c>
      <c r="C1057" s="1" t="s">
        <v>101</v>
      </c>
      <c r="D1057" s="1" t="s">
        <v>41</v>
      </c>
      <c r="E1057" s="3">
        <v>1230000</v>
      </c>
      <c r="F1057" s="1">
        <v>1952.38095238095</v>
      </c>
      <c r="H1057" s="1">
        <v>1</v>
      </c>
      <c r="J1057" s="1">
        <v>1</v>
      </c>
      <c r="K1057" s="1">
        <v>1</v>
      </c>
      <c r="M1057" s="1">
        <v>630</v>
      </c>
      <c r="N1057" s="1">
        <v>931</v>
      </c>
      <c r="O1057" s="1">
        <v>1606</v>
      </c>
      <c r="P1057" s="1">
        <v>675</v>
      </c>
      <c r="Q1057" s="1" t="s">
        <v>42</v>
      </c>
      <c r="S1057" s="1" t="s">
        <v>42</v>
      </c>
      <c r="T1057" s="1" t="s">
        <v>203</v>
      </c>
      <c r="AA1057" s="1">
        <v>1230000</v>
      </c>
      <c r="AB1057" s="1" t="s">
        <v>813</v>
      </c>
      <c r="AC1057" s="5">
        <v>44286</v>
      </c>
      <c r="AF1057" s="1">
        <v>10010</v>
      </c>
      <c r="AI1057" s="1" t="s">
        <v>45</v>
      </c>
      <c r="AJ1057" s="1">
        <v>2018</v>
      </c>
      <c r="AK1057" s="1" t="s">
        <v>50</v>
      </c>
      <c r="AL1057" s="1">
        <v>51</v>
      </c>
    </row>
    <row r="1058" spans="1:38" x14ac:dyDescent="0.2">
      <c r="A1058" s="2" t="str">
        <f>HYPERLINK("https://www.compass.com/listing/40-bleecker-street-unit-7f-manhattan-ny-10012/724144711271497513/","40 Bleecker St, Unit 7F")</f>
        <v>40 Bleecker St, Unit 7F</v>
      </c>
      <c r="B1058" s="2" t="str">
        <f t="shared" ref="B1058:B1060" si="186">HYPERLINK("https://www.compass.com/building/40-bleecker-manhattan-ny/282058881784380757/","40 Bleecker")</f>
        <v>40 Bleecker</v>
      </c>
      <c r="C1058" s="1" t="s">
        <v>92</v>
      </c>
      <c r="D1058" s="1" t="s">
        <v>41</v>
      </c>
      <c r="E1058" s="3">
        <v>3585000</v>
      </c>
      <c r="F1058" s="1">
        <v>2707.70392749244</v>
      </c>
      <c r="G1058" s="1">
        <v>4.5</v>
      </c>
      <c r="H1058" s="1">
        <v>2</v>
      </c>
      <c r="I1058" s="1">
        <v>3</v>
      </c>
      <c r="J1058" s="1">
        <v>2.5</v>
      </c>
      <c r="K1058" s="1">
        <v>2</v>
      </c>
      <c r="L1058" s="1">
        <v>1</v>
      </c>
      <c r="M1058" s="4">
        <v>1324</v>
      </c>
      <c r="N1058" s="1">
        <v>1924</v>
      </c>
      <c r="O1058" s="1">
        <v>4197</v>
      </c>
      <c r="P1058" s="1">
        <v>2273</v>
      </c>
      <c r="Q1058" s="1" t="s">
        <v>42</v>
      </c>
      <c r="S1058" s="1" t="s">
        <v>42</v>
      </c>
      <c r="T1058" s="1" t="s">
        <v>203</v>
      </c>
      <c r="U1058" s="1">
        <v>112</v>
      </c>
      <c r="V1058" s="5">
        <v>44404</v>
      </c>
      <c r="W1058" s="5">
        <v>44250</v>
      </c>
      <c r="X1058" s="1">
        <v>3650000</v>
      </c>
      <c r="Y1058" s="1">
        <v>3650000</v>
      </c>
      <c r="Z1058" s="5">
        <v>44362</v>
      </c>
      <c r="AA1058" s="1">
        <v>3585000</v>
      </c>
      <c r="AB1058" s="1" t="s">
        <v>814</v>
      </c>
      <c r="AC1058" s="5">
        <v>44403</v>
      </c>
      <c r="AF1058" s="1">
        <v>10012</v>
      </c>
      <c r="AI1058" s="1" t="s">
        <v>58</v>
      </c>
      <c r="AJ1058" s="1">
        <v>2019</v>
      </c>
      <c r="AK1058" s="1" t="s">
        <v>94</v>
      </c>
      <c r="AL1058" s="1">
        <v>61</v>
      </c>
    </row>
    <row r="1059" spans="1:38" x14ac:dyDescent="0.2">
      <c r="A1059" s="2" t="str">
        <f>HYPERLINK("https://www.compass.com/listing/40-bleecker-street-unit-5f-manhattan-ny-10012/747143475203799793/","40 Bleecker St, Unit 5F")</f>
        <v>40 Bleecker St, Unit 5F</v>
      </c>
      <c r="B1059" s="2" t="str">
        <f t="shared" si="186"/>
        <v>40 Bleecker</v>
      </c>
      <c r="C1059" s="1" t="s">
        <v>92</v>
      </c>
      <c r="D1059" s="1" t="s">
        <v>41</v>
      </c>
      <c r="E1059" s="3">
        <v>4055000</v>
      </c>
      <c r="F1059" s="1">
        <v>2732.4797843665701</v>
      </c>
      <c r="G1059" s="1">
        <v>4.5</v>
      </c>
      <c r="H1059" s="1">
        <v>2</v>
      </c>
      <c r="I1059" s="1">
        <v>3</v>
      </c>
      <c r="J1059" s="1">
        <v>2.5</v>
      </c>
      <c r="K1059" s="1">
        <v>2</v>
      </c>
      <c r="L1059" s="1">
        <v>1</v>
      </c>
      <c r="M1059" s="4">
        <v>1484</v>
      </c>
      <c r="N1059" s="1">
        <v>2157</v>
      </c>
      <c r="O1059" s="1">
        <v>4705</v>
      </c>
      <c r="P1059" s="1">
        <v>2548</v>
      </c>
      <c r="Q1059" s="1" t="s">
        <v>42</v>
      </c>
      <c r="S1059" s="1" t="s">
        <v>42</v>
      </c>
      <c r="T1059" s="1" t="s">
        <v>203</v>
      </c>
      <c r="V1059" s="5">
        <v>44362</v>
      </c>
      <c r="W1059" s="5">
        <v>44281</v>
      </c>
      <c r="X1059" s="1">
        <v>4195000</v>
      </c>
      <c r="Y1059" s="1">
        <v>4195000</v>
      </c>
      <c r="Z1059" s="5">
        <v>44281</v>
      </c>
      <c r="AA1059" s="1">
        <v>4055000</v>
      </c>
      <c r="AB1059" s="1" t="s">
        <v>815</v>
      </c>
      <c r="AC1059" s="5">
        <v>44357</v>
      </c>
      <c r="AF1059" s="1">
        <v>10012</v>
      </c>
      <c r="AI1059" s="1" t="s">
        <v>58</v>
      </c>
      <c r="AJ1059" s="1">
        <v>2019</v>
      </c>
      <c r="AK1059" s="1" t="s">
        <v>94</v>
      </c>
      <c r="AL1059" s="1">
        <v>61</v>
      </c>
    </row>
    <row r="1060" spans="1:38" x14ac:dyDescent="0.2">
      <c r="A1060" s="2" t="str">
        <f>HYPERLINK("https://www.compass.com/listing/40-bleecker-street-unit-4f-manhattan-ny-10012/700749853032043257/","40 Bleecker St, Unit 4F")</f>
        <v>40 Bleecker St, Unit 4F</v>
      </c>
      <c r="B1060" s="2" t="str">
        <f t="shared" si="186"/>
        <v>40 Bleecker</v>
      </c>
      <c r="C1060" s="1" t="s">
        <v>92</v>
      </c>
      <c r="D1060" s="1" t="s">
        <v>41</v>
      </c>
      <c r="E1060" s="3">
        <v>4035000</v>
      </c>
      <c r="F1060" s="1">
        <v>2719.0026954177802</v>
      </c>
      <c r="G1060" s="1">
        <v>4</v>
      </c>
      <c r="H1060" s="1">
        <v>2</v>
      </c>
      <c r="I1060" s="1">
        <v>3</v>
      </c>
      <c r="J1060" s="1">
        <v>2.5</v>
      </c>
      <c r="K1060" s="1">
        <v>2</v>
      </c>
      <c r="L1060" s="1">
        <v>1</v>
      </c>
      <c r="M1060" s="4">
        <v>1484</v>
      </c>
      <c r="N1060" s="1">
        <v>2157</v>
      </c>
      <c r="O1060" s="1">
        <v>4705</v>
      </c>
      <c r="P1060" s="1">
        <v>2548</v>
      </c>
      <c r="Q1060" s="1" t="s">
        <v>42</v>
      </c>
      <c r="S1060" s="1" t="s">
        <v>42</v>
      </c>
      <c r="T1060" s="1" t="s">
        <v>203</v>
      </c>
      <c r="V1060" s="5">
        <v>44330</v>
      </c>
      <c r="W1060" s="5">
        <v>44217</v>
      </c>
      <c r="X1060" s="1">
        <v>4095000</v>
      </c>
      <c r="Y1060" s="1">
        <v>4095000</v>
      </c>
      <c r="Z1060" s="5">
        <v>44217</v>
      </c>
      <c r="AA1060" s="1">
        <v>4035000</v>
      </c>
      <c r="AB1060" s="1" t="s">
        <v>816</v>
      </c>
      <c r="AC1060" s="5">
        <v>44328</v>
      </c>
      <c r="AF1060" s="1">
        <v>10012</v>
      </c>
      <c r="AI1060" s="1" t="s">
        <v>58</v>
      </c>
      <c r="AJ1060" s="1">
        <v>2019</v>
      </c>
      <c r="AK1060" s="1" t="s">
        <v>94</v>
      </c>
      <c r="AL1060" s="1">
        <v>61</v>
      </c>
    </row>
    <row r="1061" spans="1:38" x14ac:dyDescent="0.2">
      <c r="A1061" s="2" t="str">
        <f>HYPERLINK("https://www.compass.com/listing/210-bowery-unit-2-manhattan-ny-10012/29669360201118561/","210 Bowery, Unit 2")</f>
        <v>210 Bowery, Unit 2</v>
      </c>
      <c r="B1061" s="2" t="str">
        <f>HYPERLINK("https://www.compass.com/building/210-bowery-manhattan-ny-10012/281914022184383861/","210 Bowery")</f>
        <v>210 Bowery</v>
      </c>
      <c r="C1061" s="1" t="s">
        <v>118</v>
      </c>
      <c r="D1061" s="1" t="s">
        <v>41</v>
      </c>
      <c r="E1061" s="3">
        <v>3200000</v>
      </c>
      <c r="F1061" s="1">
        <v>1471.26436781609</v>
      </c>
      <c r="G1061" s="1">
        <v>4</v>
      </c>
      <c r="H1061" s="1">
        <v>2</v>
      </c>
      <c r="I1061" s="1">
        <v>2</v>
      </c>
      <c r="J1061" s="1">
        <v>2</v>
      </c>
      <c r="K1061" s="1">
        <v>2</v>
      </c>
      <c r="M1061" s="4">
        <v>2175</v>
      </c>
      <c r="N1061" s="1">
        <v>1353</v>
      </c>
      <c r="O1061" s="1">
        <v>2949</v>
      </c>
      <c r="P1061" s="1">
        <v>1596</v>
      </c>
      <c r="Q1061" s="1" t="s">
        <v>42</v>
      </c>
      <c r="S1061" s="1" t="s">
        <v>42</v>
      </c>
      <c r="T1061" s="1" t="s">
        <v>203</v>
      </c>
      <c r="U1061" s="1">
        <v>754</v>
      </c>
      <c r="V1061" s="5">
        <v>43892</v>
      </c>
      <c r="W1061" s="5">
        <v>42944</v>
      </c>
      <c r="X1061" s="1">
        <v>4000000</v>
      </c>
      <c r="Y1061" s="1">
        <v>3400000</v>
      </c>
      <c r="Z1061" s="5">
        <v>43712</v>
      </c>
      <c r="AA1061" s="1">
        <v>3200000</v>
      </c>
      <c r="AB1061" s="1" t="s">
        <v>204</v>
      </c>
      <c r="AC1061" s="5">
        <v>43881</v>
      </c>
      <c r="AF1061" s="1">
        <v>10012</v>
      </c>
      <c r="AI1061" s="1" t="s">
        <v>817</v>
      </c>
      <c r="AJ1061" s="1">
        <v>2016</v>
      </c>
      <c r="AK1061" s="1" t="s">
        <v>91</v>
      </c>
      <c r="AL1061" s="1">
        <v>7</v>
      </c>
    </row>
    <row r="1062" spans="1:38" x14ac:dyDescent="0.2">
      <c r="A1062" s="2" t="str">
        <f>HYPERLINK("https://www.compass.com/listing/40-bleecker-street-unit-3h-manhattan-ny-10012/638518869998773537/","40 Bleecker St, Unit 3H")</f>
        <v>40 Bleecker St, Unit 3H</v>
      </c>
      <c r="B1062" s="2" t="str">
        <f t="shared" ref="B1062:B1075" si="187">HYPERLINK("https://www.compass.com/building/40-bleecker-manhattan-ny/282058881784380757/","40 Bleecker")</f>
        <v>40 Bleecker</v>
      </c>
      <c r="C1062" s="1" t="s">
        <v>92</v>
      </c>
      <c r="D1062" s="1" t="s">
        <v>41</v>
      </c>
      <c r="E1062" s="3">
        <v>1935000</v>
      </c>
      <c r="F1062" s="1">
        <v>2604.3068640646002</v>
      </c>
      <c r="G1062" s="1">
        <v>3</v>
      </c>
      <c r="H1062" s="1">
        <v>1</v>
      </c>
      <c r="I1062" s="1">
        <v>1</v>
      </c>
      <c r="J1062" s="1">
        <v>1</v>
      </c>
      <c r="K1062" s="1">
        <v>1</v>
      </c>
      <c r="M1062" s="1">
        <v>743</v>
      </c>
      <c r="N1062" s="1">
        <v>1079</v>
      </c>
      <c r="O1062" s="1">
        <v>2354</v>
      </c>
      <c r="P1062" s="1">
        <v>1275</v>
      </c>
      <c r="Q1062" s="1" t="s">
        <v>42</v>
      </c>
      <c r="S1062" s="1" t="s">
        <v>42</v>
      </c>
      <c r="T1062" s="1" t="s">
        <v>203</v>
      </c>
      <c r="V1062" s="5">
        <v>44225</v>
      </c>
      <c r="W1062" s="5">
        <v>44132</v>
      </c>
      <c r="X1062" s="1">
        <v>2045000</v>
      </c>
      <c r="Y1062" s="1">
        <v>2045000</v>
      </c>
      <c r="Z1062" s="5">
        <v>44133</v>
      </c>
      <c r="AA1062" s="1">
        <v>1935000</v>
      </c>
      <c r="AB1062" s="1" t="s">
        <v>818</v>
      </c>
      <c r="AC1062" s="5">
        <v>44154</v>
      </c>
      <c r="AF1062" s="1">
        <v>10012</v>
      </c>
      <c r="AI1062" s="1" t="s">
        <v>58</v>
      </c>
      <c r="AJ1062" s="1">
        <v>2019</v>
      </c>
      <c r="AK1062" s="1" t="s">
        <v>50</v>
      </c>
      <c r="AL1062" s="1">
        <v>61</v>
      </c>
    </row>
    <row r="1063" spans="1:38" x14ac:dyDescent="0.2">
      <c r="A1063" s="2" t="str">
        <f>HYPERLINK("https://www.compass.com/listing/40-bleecker-street-unit-3g-manhattan-ny-10012/217223327129850257/","40 Bleecker St, Unit 3G")</f>
        <v>40 Bleecker St, Unit 3G</v>
      </c>
      <c r="B1063" s="2" t="str">
        <f t="shared" si="187"/>
        <v>40 Bleecker</v>
      </c>
      <c r="C1063" s="1" t="s">
        <v>92</v>
      </c>
      <c r="D1063" s="1" t="s">
        <v>41</v>
      </c>
      <c r="E1063" s="3">
        <v>1725000</v>
      </c>
      <c r="F1063" s="1">
        <v>2645.70552147239</v>
      </c>
      <c r="G1063" s="1">
        <v>3</v>
      </c>
      <c r="H1063" s="1">
        <v>1</v>
      </c>
      <c r="I1063" s="1">
        <v>1</v>
      </c>
      <c r="J1063" s="1">
        <v>1</v>
      </c>
      <c r="K1063" s="1">
        <v>1</v>
      </c>
      <c r="M1063" s="1">
        <v>652</v>
      </c>
      <c r="N1063" s="1">
        <v>948</v>
      </c>
      <c r="O1063" s="1">
        <v>2067</v>
      </c>
      <c r="P1063" s="1">
        <v>1119</v>
      </c>
      <c r="Q1063" s="1" t="s">
        <v>42</v>
      </c>
      <c r="S1063" s="1" t="s">
        <v>42</v>
      </c>
      <c r="T1063" s="1" t="s">
        <v>203</v>
      </c>
      <c r="U1063" s="1">
        <v>56</v>
      </c>
      <c r="V1063" s="5">
        <v>44225</v>
      </c>
      <c r="W1063" s="5">
        <v>43550</v>
      </c>
      <c r="X1063" s="1">
        <v>1775000</v>
      </c>
      <c r="Y1063" s="1">
        <v>1775000</v>
      </c>
      <c r="Z1063" s="5">
        <v>43607</v>
      </c>
      <c r="AA1063" s="1">
        <v>1725000</v>
      </c>
      <c r="AB1063" s="1" t="s">
        <v>819</v>
      </c>
      <c r="AC1063" s="5">
        <v>44154</v>
      </c>
      <c r="AF1063" s="1">
        <v>10012</v>
      </c>
      <c r="AI1063" s="1" t="s">
        <v>58</v>
      </c>
      <c r="AJ1063" s="1">
        <v>2019</v>
      </c>
      <c r="AK1063" s="1" t="s">
        <v>50</v>
      </c>
      <c r="AL1063" s="1">
        <v>61</v>
      </c>
    </row>
    <row r="1064" spans="1:38" x14ac:dyDescent="0.2">
      <c r="A1064" s="2" t="str">
        <f>HYPERLINK("https://www.compass.com/listing/40-bleecker-street-unit-4g-manhattan-ny-10012/257184392378672449/","40 Bleecker St, Unit 4G")</f>
        <v>40 Bleecker St, Unit 4G</v>
      </c>
      <c r="B1064" s="2" t="str">
        <f t="shared" si="187"/>
        <v>40 Bleecker</v>
      </c>
      <c r="C1064" s="1" t="s">
        <v>92</v>
      </c>
      <c r="D1064" s="1" t="s">
        <v>41</v>
      </c>
      <c r="E1064" s="3">
        <v>1875000</v>
      </c>
      <c r="F1064" s="1">
        <v>2875.7668711656402</v>
      </c>
      <c r="G1064" s="1">
        <v>3</v>
      </c>
      <c r="H1064" s="1">
        <v>1</v>
      </c>
      <c r="I1064" s="1">
        <v>1</v>
      </c>
      <c r="J1064" s="1">
        <v>1</v>
      </c>
      <c r="K1064" s="1">
        <v>1</v>
      </c>
      <c r="M1064" s="1">
        <v>652</v>
      </c>
      <c r="N1064" s="1">
        <v>948</v>
      </c>
      <c r="O1064" s="1">
        <v>2067</v>
      </c>
      <c r="P1064" s="1">
        <v>1119</v>
      </c>
      <c r="Q1064" s="1" t="s">
        <v>42</v>
      </c>
      <c r="S1064" s="1" t="s">
        <v>42</v>
      </c>
      <c r="T1064" s="1" t="s">
        <v>203</v>
      </c>
      <c r="U1064" s="1">
        <v>262</v>
      </c>
      <c r="V1064" s="5">
        <v>44225</v>
      </c>
      <c r="W1064" s="5">
        <v>43396</v>
      </c>
      <c r="X1064" s="1">
        <v>1875000</v>
      </c>
      <c r="Y1064" s="1">
        <v>1875000</v>
      </c>
      <c r="Z1064" s="5">
        <v>43659</v>
      </c>
      <c r="AA1064" s="1">
        <v>1875000</v>
      </c>
      <c r="AB1064" s="1" t="s">
        <v>820</v>
      </c>
      <c r="AC1064" s="5">
        <v>44218</v>
      </c>
      <c r="AF1064" s="1">
        <v>10012</v>
      </c>
      <c r="AI1064" s="1" t="s">
        <v>58</v>
      </c>
      <c r="AJ1064" s="1">
        <v>2019</v>
      </c>
      <c r="AK1064" s="1" t="s">
        <v>50</v>
      </c>
      <c r="AL1064" s="1">
        <v>61</v>
      </c>
    </row>
    <row r="1065" spans="1:38" x14ac:dyDescent="0.2">
      <c r="A1065" s="2" t="str">
        <f>HYPERLINK("https://www.compass.com/listing/40-bleecker-street-unit-4h-manhattan-ny-10012/262162503759389233/","40 Bleecker St, Unit 4H")</f>
        <v>40 Bleecker St, Unit 4H</v>
      </c>
      <c r="B1065" s="2" t="str">
        <f t="shared" si="187"/>
        <v>40 Bleecker</v>
      </c>
      <c r="C1065" s="1" t="s">
        <v>92</v>
      </c>
      <c r="D1065" s="1" t="s">
        <v>41</v>
      </c>
      <c r="E1065" s="3">
        <v>2050000</v>
      </c>
      <c r="F1065" s="1">
        <v>2759.0847913862699</v>
      </c>
      <c r="G1065" s="1">
        <v>3</v>
      </c>
      <c r="H1065" s="1">
        <v>1</v>
      </c>
      <c r="I1065" s="1">
        <v>1</v>
      </c>
      <c r="J1065" s="1">
        <v>1</v>
      </c>
      <c r="K1065" s="1">
        <v>1</v>
      </c>
      <c r="M1065" s="1">
        <v>743</v>
      </c>
      <c r="N1065" s="1">
        <v>1079</v>
      </c>
      <c r="O1065" s="1">
        <v>2354</v>
      </c>
      <c r="P1065" s="1">
        <v>1275</v>
      </c>
      <c r="Q1065" s="1" t="s">
        <v>42</v>
      </c>
      <c r="S1065" s="1" t="s">
        <v>42</v>
      </c>
      <c r="T1065" s="1" t="s">
        <v>203</v>
      </c>
      <c r="U1065" s="1">
        <v>595</v>
      </c>
      <c r="V1065" s="5">
        <v>44183</v>
      </c>
      <c r="W1065" s="5">
        <v>43112</v>
      </c>
      <c r="X1065" s="1">
        <v>2145000</v>
      </c>
      <c r="Y1065" s="1">
        <v>2145000</v>
      </c>
      <c r="Z1065" s="5">
        <v>43708</v>
      </c>
      <c r="AA1065" s="1">
        <v>2050000</v>
      </c>
      <c r="AB1065" s="1" t="s">
        <v>821</v>
      </c>
      <c r="AC1065" s="5">
        <v>44176</v>
      </c>
      <c r="AF1065" s="1">
        <v>10012</v>
      </c>
      <c r="AI1065" s="1" t="s">
        <v>58</v>
      </c>
      <c r="AJ1065" s="1">
        <v>2019</v>
      </c>
      <c r="AK1065" s="1" t="s">
        <v>50</v>
      </c>
      <c r="AL1065" s="1">
        <v>61</v>
      </c>
    </row>
    <row r="1066" spans="1:38" x14ac:dyDescent="0.2">
      <c r="A1066" s="2" t="str">
        <f>HYPERLINK("https://www.compass.com/listing/40-bleecker-street-unit-3e-manhattan-ny-10012/29515240056092465/","40 Bleecker St, Unit 3E")</f>
        <v>40 Bleecker St, Unit 3E</v>
      </c>
      <c r="B1066" s="2" t="str">
        <f t="shared" si="187"/>
        <v>40 Bleecker</v>
      </c>
      <c r="C1066" s="1" t="s">
        <v>92</v>
      </c>
      <c r="D1066" s="1" t="s">
        <v>41</v>
      </c>
      <c r="E1066" s="3">
        <v>1960131</v>
      </c>
      <c r="F1066" s="1">
        <v>2820.3327338129402</v>
      </c>
      <c r="G1066" s="1">
        <v>3</v>
      </c>
      <c r="H1066" s="1">
        <v>1</v>
      </c>
      <c r="I1066" s="1">
        <v>1</v>
      </c>
      <c r="J1066" s="1">
        <v>1</v>
      </c>
      <c r="K1066" s="1">
        <v>1</v>
      </c>
      <c r="M1066" s="1">
        <v>695</v>
      </c>
      <c r="N1066" s="1">
        <v>1010</v>
      </c>
      <c r="O1066" s="1">
        <v>2203</v>
      </c>
      <c r="P1066" s="1">
        <v>1193</v>
      </c>
      <c r="Q1066" s="1" t="s">
        <v>42</v>
      </c>
      <c r="S1066" s="1" t="s">
        <v>42</v>
      </c>
      <c r="T1066" s="1" t="s">
        <v>203</v>
      </c>
      <c r="U1066" s="1">
        <v>1</v>
      </c>
      <c r="V1066" s="5">
        <v>44154</v>
      </c>
      <c r="W1066" s="5">
        <v>43153</v>
      </c>
      <c r="X1066" s="1">
        <v>1925000</v>
      </c>
      <c r="Y1066" s="1">
        <v>1925000</v>
      </c>
      <c r="Z1066" s="5">
        <v>43154</v>
      </c>
      <c r="AA1066" s="1">
        <v>1960131.25</v>
      </c>
      <c r="AB1066" s="1" t="s">
        <v>822</v>
      </c>
      <c r="AC1066" s="5">
        <v>44148</v>
      </c>
      <c r="AF1066" s="1">
        <v>10012</v>
      </c>
      <c r="AI1066" s="1" t="s">
        <v>58</v>
      </c>
      <c r="AJ1066" s="1">
        <v>2019</v>
      </c>
      <c r="AK1066" s="1" t="s">
        <v>50</v>
      </c>
      <c r="AL1066" s="1">
        <v>61</v>
      </c>
    </row>
    <row r="1067" spans="1:38" x14ac:dyDescent="0.2">
      <c r="A1067" s="2" t="str">
        <f>HYPERLINK("https://www.compass.com/listing/40-bleecker-street-unit-5g-manhattan-ny-10012/312895418886985089/","40 Bleecker St, Unit 5G")</f>
        <v>40 Bleecker St, Unit 5G</v>
      </c>
      <c r="B1067" s="2" t="str">
        <f t="shared" si="187"/>
        <v>40 Bleecker</v>
      </c>
      <c r="C1067" s="1" t="s">
        <v>92</v>
      </c>
      <c r="D1067" s="1" t="s">
        <v>41</v>
      </c>
      <c r="E1067" s="3">
        <v>1800000</v>
      </c>
      <c r="F1067" s="1">
        <v>2760.7361963190101</v>
      </c>
      <c r="G1067" s="1">
        <v>3</v>
      </c>
      <c r="H1067" s="1">
        <v>1</v>
      </c>
      <c r="I1067" s="1">
        <v>1</v>
      </c>
      <c r="J1067" s="1">
        <v>1</v>
      </c>
      <c r="K1067" s="1">
        <v>1</v>
      </c>
      <c r="M1067" s="1">
        <v>652</v>
      </c>
      <c r="N1067" s="1">
        <v>948</v>
      </c>
      <c r="O1067" s="1">
        <v>2067</v>
      </c>
      <c r="P1067" s="1">
        <v>1119</v>
      </c>
      <c r="Q1067" s="1" t="s">
        <v>42</v>
      </c>
      <c r="S1067" s="1" t="s">
        <v>42</v>
      </c>
      <c r="T1067" s="1" t="s">
        <v>203</v>
      </c>
      <c r="U1067" s="1">
        <v>725</v>
      </c>
      <c r="V1067" s="5">
        <v>44267</v>
      </c>
      <c r="W1067" s="5">
        <v>43112</v>
      </c>
      <c r="X1067" s="1">
        <v>1975000</v>
      </c>
      <c r="Y1067" s="1">
        <v>1975000</v>
      </c>
      <c r="Z1067" s="5">
        <v>44219</v>
      </c>
      <c r="AA1067" s="1">
        <v>1800000</v>
      </c>
      <c r="AB1067" s="1" t="s">
        <v>823</v>
      </c>
      <c r="AC1067" s="5">
        <v>44235</v>
      </c>
      <c r="AF1067" s="1">
        <v>10012</v>
      </c>
      <c r="AI1067" s="1" t="s">
        <v>58</v>
      </c>
      <c r="AJ1067" s="1">
        <v>2019</v>
      </c>
      <c r="AK1067" s="1" t="s">
        <v>94</v>
      </c>
      <c r="AL1067" s="1">
        <v>61</v>
      </c>
    </row>
    <row r="1068" spans="1:38" x14ac:dyDescent="0.2">
      <c r="A1068" s="2" t="str">
        <f>HYPERLINK("https://www.compass.com/listing/40-bleecker-street-unit-5h-manhattan-ny-10012/384651527579930785/","40 Bleecker St, Unit 5H")</f>
        <v>40 Bleecker St, Unit 5H</v>
      </c>
      <c r="B1068" s="2" t="str">
        <f t="shared" si="187"/>
        <v>40 Bleecker</v>
      </c>
      <c r="C1068" s="1" t="s">
        <v>92</v>
      </c>
      <c r="D1068" s="1" t="s">
        <v>41</v>
      </c>
      <c r="E1068" s="3">
        <v>2050000</v>
      </c>
      <c r="F1068" s="1">
        <v>2759.0847913862699</v>
      </c>
      <c r="G1068" s="1">
        <v>3</v>
      </c>
      <c r="H1068" s="1">
        <v>1</v>
      </c>
      <c r="I1068" s="1">
        <v>1</v>
      </c>
      <c r="J1068" s="1">
        <v>1</v>
      </c>
      <c r="K1068" s="1">
        <v>1</v>
      </c>
      <c r="M1068" s="1">
        <v>743</v>
      </c>
      <c r="N1068" s="1">
        <v>1079</v>
      </c>
      <c r="O1068" s="1">
        <v>2354</v>
      </c>
      <c r="P1068" s="1">
        <v>1275</v>
      </c>
      <c r="Q1068" s="1" t="s">
        <v>42</v>
      </c>
      <c r="S1068" s="1" t="s">
        <v>42</v>
      </c>
      <c r="T1068" s="1" t="s">
        <v>203</v>
      </c>
      <c r="U1068" s="1">
        <v>670</v>
      </c>
      <c r="V1068" s="5">
        <v>44225</v>
      </c>
      <c r="W1068" s="5">
        <v>43112</v>
      </c>
      <c r="X1068" s="1">
        <v>2245000</v>
      </c>
      <c r="Y1068" s="1">
        <v>2245000</v>
      </c>
      <c r="Z1068" s="5">
        <v>43783</v>
      </c>
      <c r="AA1068" s="1">
        <v>2050000</v>
      </c>
      <c r="AB1068" s="1" t="s">
        <v>824</v>
      </c>
      <c r="AC1068" s="5">
        <v>44158</v>
      </c>
      <c r="AF1068" s="1">
        <v>10012</v>
      </c>
      <c r="AI1068" s="1" t="s">
        <v>58</v>
      </c>
      <c r="AJ1068" s="1">
        <v>2019</v>
      </c>
      <c r="AK1068" s="1" t="s">
        <v>50</v>
      </c>
      <c r="AL1068" s="1">
        <v>61</v>
      </c>
    </row>
    <row r="1069" spans="1:38" x14ac:dyDescent="0.2">
      <c r="A1069" s="2" t="str">
        <f>HYPERLINK("https://www.compass.com/listing/40-bleecker-street-unit-2a-manhattan-ny-10012/368512459538864865/","40 Bleecker St, Unit 2A")</f>
        <v>40 Bleecker St, Unit 2A</v>
      </c>
      <c r="B1069" s="2" t="str">
        <f t="shared" si="187"/>
        <v>40 Bleecker</v>
      </c>
      <c r="C1069" s="1" t="s">
        <v>92</v>
      </c>
      <c r="D1069" s="1" t="s">
        <v>41</v>
      </c>
      <c r="E1069" s="3">
        <v>4000000</v>
      </c>
      <c r="F1069" s="1">
        <v>2656.0424966799401</v>
      </c>
      <c r="G1069" s="1">
        <v>5</v>
      </c>
      <c r="H1069" s="1">
        <v>2</v>
      </c>
      <c r="I1069" s="1">
        <v>3</v>
      </c>
      <c r="J1069" s="1">
        <v>2.5</v>
      </c>
      <c r="K1069" s="1">
        <v>2</v>
      </c>
      <c r="L1069" s="1">
        <v>1</v>
      </c>
      <c r="M1069" s="4">
        <v>1506</v>
      </c>
      <c r="N1069" s="1">
        <v>2218</v>
      </c>
      <c r="O1069" s="1">
        <v>4839</v>
      </c>
      <c r="P1069" s="1">
        <v>2621</v>
      </c>
      <c r="Q1069" s="1" t="s">
        <v>42</v>
      </c>
      <c r="S1069" s="1" t="s">
        <v>42</v>
      </c>
      <c r="T1069" s="1" t="s">
        <v>203</v>
      </c>
      <c r="U1069" s="1">
        <v>78</v>
      </c>
      <c r="V1069" s="5">
        <v>44338</v>
      </c>
      <c r="W1069" s="5">
        <v>43759</v>
      </c>
      <c r="X1069" s="1">
        <v>4100000</v>
      </c>
      <c r="Y1069" s="1">
        <v>4100000</v>
      </c>
      <c r="Z1069" s="5">
        <v>43886</v>
      </c>
      <c r="AA1069" s="1">
        <v>4000000</v>
      </c>
      <c r="AB1069" s="1" t="s">
        <v>825</v>
      </c>
      <c r="AC1069" s="5">
        <v>44173</v>
      </c>
      <c r="AF1069" s="1">
        <v>10012</v>
      </c>
      <c r="AI1069" s="1" t="s">
        <v>93</v>
      </c>
      <c r="AJ1069" s="1">
        <v>2019</v>
      </c>
      <c r="AK1069" s="1" t="s">
        <v>129</v>
      </c>
      <c r="AL1069" s="1">
        <v>61</v>
      </c>
    </row>
    <row r="1070" spans="1:38" x14ac:dyDescent="0.2">
      <c r="A1070" s="2" t="str">
        <f>HYPERLINK("https://www.compass.com/listing/40-bleecker-street-unit-2d-manhattan-ny-10012/384018042796035201/","40 Bleecker St, Unit 2D")</f>
        <v>40 Bleecker St, Unit 2D</v>
      </c>
      <c r="B1070" s="2" t="str">
        <f t="shared" si="187"/>
        <v>40 Bleecker</v>
      </c>
      <c r="C1070" s="1" t="s">
        <v>92</v>
      </c>
      <c r="D1070" s="1" t="s">
        <v>41</v>
      </c>
      <c r="E1070" s="3">
        <v>3092873</v>
      </c>
      <c r="F1070" s="1">
        <v>2535.14139344262</v>
      </c>
      <c r="G1070" s="1">
        <v>4</v>
      </c>
      <c r="H1070" s="1">
        <v>2</v>
      </c>
      <c r="I1070" s="1">
        <v>3</v>
      </c>
      <c r="J1070" s="1">
        <v>2.5</v>
      </c>
      <c r="K1070" s="1">
        <v>2</v>
      </c>
      <c r="L1070" s="1">
        <v>1</v>
      </c>
      <c r="M1070" s="4">
        <v>1220</v>
      </c>
      <c r="N1070" s="1">
        <v>1773</v>
      </c>
      <c r="O1070" s="1">
        <v>3867</v>
      </c>
      <c r="P1070" s="1">
        <v>2094</v>
      </c>
      <c r="Q1070" s="1" t="s">
        <v>42</v>
      </c>
      <c r="S1070" s="1" t="s">
        <v>42</v>
      </c>
      <c r="T1070" s="1" t="s">
        <v>203</v>
      </c>
      <c r="U1070" s="1">
        <v>228</v>
      </c>
      <c r="V1070" s="5">
        <v>44225</v>
      </c>
      <c r="W1070" s="5">
        <v>43553</v>
      </c>
      <c r="X1070" s="1">
        <v>3325000</v>
      </c>
      <c r="Y1070" s="1">
        <v>3325000</v>
      </c>
      <c r="Z1070" s="5">
        <v>43782</v>
      </c>
      <c r="AA1070" s="1">
        <v>3092872.5</v>
      </c>
      <c r="AB1070" s="1" t="s">
        <v>826</v>
      </c>
      <c r="AC1070" s="5">
        <v>44151</v>
      </c>
      <c r="AF1070" s="1">
        <v>10012</v>
      </c>
      <c r="AI1070" s="1" t="s">
        <v>58</v>
      </c>
      <c r="AJ1070" s="1">
        <v>2019</v>
      </c>
      <c r="AK1070" s="1" t="s">
        <v>50</v>
      </c>
      <c r="AL1070" s="1">
        <v>61</v>
      </c>
    </row>
    <row r="1071" spans="1:38" x14ac:dyDescent="0.2">
      <c r="A1071" s="2" t="str">
        <f>HYPERLINK("https://www.compass.com/listing/40-bleecker-street-unit-4f-manhattan-ny-10012/785370286891368729/","40 Bleecker St, Unit 4F")</f>
        <v>40 Bleecker St, Unit 4F</v>
      </c>
      <c r="B1071" s="2" t="str">
        <f t="shared" si="187"/>
        <v>40 Bleecker</v>
      </c>
      <c r="C1071" s="1" t="s">
        <v>92</v>
      </c>
      <c r="D1071" s="1" t="s">
        <v>41</v>
      </c>
      <c r="E1071" s="3">
        <v>4035000</v>
      </c>
      <c r="F1071" s="1">
        <v>2719.0026954177802</v>
      </c>
      <c r="G1071" s="1">
        <v>6.5</v>
      </c>
      <c r="H1071" s="1">
        <v>2</v>
      </c>
      <c r="I1071" s="1">
        <v>3</v>
      </c>
      <c r="J1071" s="1">
        <v>2.5</v>
      </c>
      <c r="K1071" s="1">
        <v>2</v>
      </c>
      <c r="L1071" s="1">
        <v>1</v>
      </c>
      <c r="M1071" s="4">
        <v>1484</v>
      </c>
      <c r="N1071" s="1">
        <v>2157</v>
      </c>
      <c r="O1071" s="1">
        <v>4705</v>
      </c>
      <c r="P1071" s="1">
        <v>2548</v>
      </c>
      <c r="Q1071" s="1" t="s">
        <v>42</v>
      </c>
      <c r="S1071" s="1" t="s">
        <v>42</v>
      </c>
      <c r="T1071" s="1" t="s">
        <v>203</v>
      </c>
      <c r="U1071" s="1">
        <v>725</v>
      </c>
      <c r="V1071" s="5">
        <v>44222</v>
      </c>
      <c r="W1071" s="5">
        <v>43112</v>
      </c>
      <c r="X1071" s="1">
        <v>4095000</v>
      </c>
      <c r="Y1071" s="1">
        <v>4095000</v>
      </c>
      <c r="AA1071" s="1">
        <v>4035000</v>
      </c>
      <c r="AB1071" s="1" t="s">
        <v>816</v>
      </c>
      <c r="AC1071" s="5">
        <v>44328</v>
      </c>
      <c r="AF1071" s="1">
        <v>10012</v>
      </c>
      <c r="AI1071" s="1" t="s">
        <v>58</v>
      </c>
      <c r="AJ1071" s="1">
        <v>2019</v>
      </c>
      <c r="AK1071" s="1" t="s">
        <v>50</v>
      </c>
      <c r="AL1071" s="1">
        <v>61</v>
      </c>
    </row>
    <row r="1072" spans="1:38" x14ac:dyDescent="0.2">
      <c r="A1072" s="2" t="str">
        <f>HYPERLINK("https://www.compass.com/listing/40-bleecker-street-unit-6a-manhattan-ny-10012/801633726295660745/","40 Bleecker St, Unit 6A")</f>
        <v>40 Bleecker St, Unit 6A</v>
      </c>
      <c r="B1072" s="2" t="str">
        <f t="shared" si="187"/>
        <v>40 Bleecker</v>
      </c>
      <c r="C1072" s="1" t="s">
        <v>92</v>
      </c>
      <c r="D1072" s="1" t="s">
        <v>41</v>
      </c>
      <c r="E1072" s="3">
        <v>4225000</v>
      </c>
      <c r="F1072" s="1">
        <v>2805.4448871181899</v>
      </c>
      <c r="G1072" s="1">
        <v>5</v>
      </c>
      <c r="H1072" s="1">
        <v>2</v>
      </c>
      <c r="I1072" s="1">
        <v>3</v>
      </c>
      <c r="J1072" s="1">
        <v>2.5</v>
      </c>
      <c r="K1072" s="1">
        <v>2</v>
      </c>
      <c r="L1072" s="1">
        <v>1</v>
      </c>
      <c r="M1072" s="4">
        <v>1506</v>
      </c>
      <c r="N1072" s="1">
        <v>2188</v>
      </c>
      <c r="O1072" s="1">
        <v>4773</v>
      </c>
      <c r="P1072" s="1">
        <v>2585</v>
      </c>
      <c r="Q1072" s="1" t="s">
        <v>42</v>
      </c>
      <c r="S1072" s="1" t="s">
        <v>42</v>
      </c>
      <c r="T1072" s="1" t="s">
        <v>203</v>
      </c>
      <c r="U1072" s="1">
        <v>6</v>
      </c>
      <c r="V1072" s="5">
        <v>44370</v>
      </c>
      <c r="W1072" s="5">
        <v>44280</v>
      </c>
      <c r="Y1072" s="1">
        <v>4345000</v>
      </c>
      <c r="Z1072" s="5">
        <v>44287</v>
      </c>
      <c r="AA1072" s="1">
        <v>4225000</v>
      </c>
      <c r="AB1072" s="1" t="s">
        <v>827</v>
      </c>
      <c r="AC1072" s="5">
        <v>44363</v>
      </c>
      <c r="AF1072" s="1">
        <v>10012</v>
      </c>
      <c r="AI1072" s="1" t="s">
        <v>58</v>
      </c>
      <c r="AJ1072" s="1">
        <v>2019</v>
      </c>
      <c r="AK1072" s="1" t="s">
        <v>94</v>
      </c>
      <c r="AL1072" s="1">
        <v>61</v>
      </c>
    </row>
    <row r="1073" spans="1:38" x14ac:dyDescent="0.2">
      <c r="A1073" s="2" t="str">
        <f>HYPERLINK("https://www.compass.com/listing/40-bleecker-street-unit-5d-manhattan-ny-10012/29515237111690961/","40 Bleecker St, Unit 5D")</f>
        <v>40 Bleecker St, Unit 5D</v>
      </c>
      <c r="B1073" s="2" t="str">
        <f t="shared" si="187"/>
        <v>40 Bleecker</v>
      </c>
      <c r="C1073" s="1" t="s">
        <v>92</v>
      </c>
      <c r="D1073" s="1" t="s">
        <v>41</v>
      </c>
      <c r="E1073" s="3">
        <v>3589331</v>
      </c>
      <c r="F1073" s="1">
        <v>2942.07479508196</v>
      </c>
      <c r="G1073" s="1">
        <v>5</v>
      </c>
      <c r="H1073" s="1">
        <v>2</v>
      </c>
      <c r="I1073" s="1">
        <v>3</v>
      </c>
      <c r="J1073" s="1">
        <v>2.5</v>
      </c>
      <c r="K1073" s="1">
        <v>2</v>
      </c>
      <c r="L1073" s="1">
        <v>1</v>
      </c>
      <c r="M1073" s="4">
        <v>1220</v>
      </c>
      <c r="N1073" s="1">
        <v>1773</v>
      </c>
      <c r="O1073" s="1">
        <v>3867</v>
      </c>
      <c r="P1073" s="1">
        <v>2094</v>
      </c>
      <c r="Q1073" s="1" t="s">
        <v>42</v>
      </c>
      <c r="S1073" s="1" t="s">
        <v>42</v>
      </c>
      <c r="T1073" s="1" t="s">
        <v>203</v>
      </c>
      <c r="V1073" s="5">
        <v>44154</v>
      </c>
      <c r="W1073" s="5">
        <v>43178</v>
      </c>
      <c r="X1073" s="1">
        <v>3525000</v>
      </c>
      <c r="Y1073" s="1">
        <v>3525000</v>
      </c>
      <c r="Z1073" s="5">
        <v>43179</v>
      </c>
      <c r="AA1073" s="1">
        <v>3589331.25</v>
      </c>
      <c r="AB1073" s="1" t="s">
        <v>828</v>
      </c>
      <c r="AC1073" s="5">
        <v>44148</v>
      </c>
      <c r="AF1073" s="1">
        <v>10012</v>
      </c>
      <c r="AI1073" s="1" t="s">
        <v>58</v>
      </c>
      <c r="AJ1073" s="1">
        <v>2019</v>
      </c>
      <c r="AK1073" s="1" t="s">
        <v>50</v>
      </c>
      <c r="AL1073" s="1">
        <v>61</v>
      </c>
    </row>
    <row r="1074" spans="1:38" x14ac:dyDescent="0.2">
      <c r="A1074" s="2" t="str">
        <f>HYPERLINK("https://www.compass.com/listing/40-bleecker-street-unit-4d-manhattan-ny-10012/29515240349734785/","40 Bleecker St, Unit 4D")</f>
        <v>40 Bleecker St, Unit 4D</v>
      </c>
      <c r="B1074" s="2" t="str">
        <f t="shared" si="187"/>
        <v>40 Bleecker</v>
      </c>
      <c r="C1074" s="1" t="s">
        <v>92</v>
      </c>
      <c r="D1074" s="1" t="s">
        <v>41</v>
      </c>
      <c r="E1074" s="3">
        <v>3487506</v>
      </c>
      <c r="F1074" s="1">
        <v>2858.6116803278601</v>
      </c>
      <c r="G1074" s="1">
        <v>5</v>
      </c>
      <c r="H1074" s="1">
        <v>2</v>
      </c>
      <c r="I1074" s="1">
        <v>3</v>
      </c>
      <c r="J1074" s="1">
        <v>2.5</v>
      </c>
      <c r="K1074" s="1">
        <v>2</v>
      </c>
      <c r="L1074" s="1">
        <v>1</v>
      </c>
      <c r="M1074" s="4">
        <v>1220</v>
      </c>
      <c r="N1074" s="1">
        <v>1773</v>
      </c>
      <c r="O1074" s="1">
        <v>3867</v>
      </c>
      <c r="P1074" s="1">
        <v>2094</v>
      </c>
      <c r="Q1074" s="1" t="s">
        <v>42</v>
      </c>
      <c r="S1074" s="1" t="s">
        <v>42</v>
      </c>
      <c r="T1074" s="1" t="s">
        <v>203</v>
      </c>
      <c r="U1074" s="1">
        <v>1</v>
      </c>
      <c r="V1074" s="5">
        <v>44323</v>
      </c>
      <c r="W1074" s="5">
        <v>43153</v>
      </c>
      <c r="X1074" s="1">
        <v>3425000</v>
      </c>
      <c r="Y1074" s="1">
        <v>3425000</v>
      </c>
      <c r="Z1074" s="5">
        <v>43154</v>
      </c>
      <c r="AA1074" s="1">
        <v>3487506.25</v>
      </c>
      <c r="AB1074" s="1" t="s">
        <v>829</v>
      </c>
      <c r="AC1074" s="5">
        <v>44168</v>
      </c>
      <c r="AF1074" s="1">
        <v>10012</v>
      </c>
      <c r="AI1074" s="1" t="s">
        <v>58</v>
      </c>
      <c r="AJ1074" s="1">
        <v>2019</v>
      </c>
      <c r="AK1074" s="1" t="s">
        <v>94</v>
      </c>
      <c r="AL1074" s="1">
        <v>61</v>
      </c>
    </row>
    <row r="1075" spans="1:38" x14ac:dyDescent="0.2">
      <c r="A1075" s="2" t="str">
        <f>HYPERLINK("https://www.compass.com/listing/40-bleecker-street-unit-2f-manhattan-ny-10012/740158640362609737/","40 Bleecker St, Unit 2F")</f>
        <v>40 Bleecker St, Unit 2F</v>
      </c>
      <c r="B1075" s="2" t="str">
        <f t="shared" si="187"/>
        <v>40 Bleecker</v>
      </c>
      <c r="C1075" s="1" t="s">
        <v>92</v>
      </c>
      <c r="D1075" s="1" t="s">
        <v>41</v>
      </c>
      <c r="E1075" s="3">
        <v>4050000</v>
      </c>
      <c r="F1075" s="1">
        <v>2655.73770491803</v>
      </c>
      <c r="G1075" s="1">
        <v>5</v>
      </c>
      <c r="H1075" s="1">
        <v>2</v>
      </c>
      <c r="I1075" s="1">
        <v>3</v>
      </c>
      <c r="J1075" s="1">
        <v>2.5</v>
      </c>
      <c r="K1075" s="1">
        <v>2</v>
      </c>
      <c r="L1075" s="1">
        <v>1</v>
      </c>
      <c r="M1075" s="4">
        <v>1525</v>
      </c>
      <c r="N1075" s="1">
        <v>2247</v>
      </c>
      <c r="O1075" s="1">
        <v>4901</v>
      </c>
      <c r="P1075" s="1">
        <v>2654</v>
      </c>
      <c r="Q1075" s="1" t="s">
        <v>42</v>
      </c>
      <c r="S1075" s="1" t="s">
        <v>42</v>
      </c>
      <c r="T1075" s="1" t="s">
        <v>203</v>
      </c>
      <c r="U1075" s="1">
        <v>30</v>
      </c>
      <c r="V1075" s="5">
        <v>44323</v>
      </c>
      <c r="W1075" s="5">
        <v>44271</v>
      </c>
      <c r="AA1075" s="1">
        <v>4050000</v>
      </c>
      <c r="AB1075" s="1" t="s">
        <v>830</v>
      </c>
      <c r="AC1075" s="5">
        <v>44301</v>
      </c>
      <c r="AF1075" s="1">
        <v>10012</v>
      </c>
      <c r="AI1075" s="1" t="s">
        <v>98</v>
      </c>
      <c r="AJ1075" s="1">
        <v>2019</v>
      </c>
      <c r="AK1075" s="1" t="s">
        <v>94</v>
      </c>
      <c r="AL1075" s="1">
        <v>61</v>
      </c>
    </row>
    <row r="1076" spans="1:38" x14ac:dyDescent="0.2">
      <c r="A1076" s="2" t="str">
        <f>HYPERLINK("https://www.compass.com/listing/32-east-1st-street-unit-7e-manhattan-ny-10003/394256901400666897/","32 E 1st St, Unit 7E")</f>
        <v>32 E 1st St, Unit 7E</v>
      </c>
      <c r="B1076" s="2" t="str">
        <f>HYPERLINK("https://www.compass.com/building/32-east-1st-street-manhattan-ny/292783157810310133/","32 East 1st Street")</f>
        <v>32 East 1st Street</v>
      </c>
      <c r="C1076" s="1" t="s">
        <v>88</v>
      </c>
      <c r="D1076" s="1" t="s">
        <v>41</v>
      </c>
      <c r="E1076" s="3">
        <v>1234628</v>
      </c>
      <c r="F1076" s="1">
        <v>2550.8845661157002</v>
      </c>
      <c r="G1076" s="1">
        <v>3</v>
      </c>
      <c r="H1076" s="1">
        <v>1</v>
      </c>
      <c r="I1076" s="1">
        <v>1</v>
      </c>
      <c r="J1076" s="1">
        <v>1</v>
      </c>
      <c r="K1076" s="1">
        <v>1</v>
      </c>
      <c r="M1076" s="1">
        <v>484</v>
      </c>
      <c r="N1076" s="1">
        <v>655</v>
      </c>
      <c r="O1076" s="1">
        <v>1649</v>
      </c>
      <c r="P1076" s="1">
        <v>994</v>
      </c>
      <c r="Q1076" s="1" t="s">
        <v>42</v>
      </c>
      <c r="S1076" s="1" t="s">
        <v>42</v>
      </c>
      <c r="T1076" s="1" t="s">
        <v>203</v>
      </c>
      <c r="U1076" s="1">
        <v>508</v>
      </c>
      <c r="V1076" s="5">
        <v>44392</v>
      </c>
      <c r="W1076" s="5">
        <v>43698</v>
      </c>
      <c r="X1076" s="1">
        <v>1375000</v>
      </c>
      <c r="Y1076" s="1">
        <v>1295000</v>
      </c>
      <c r="Z1076" s="5">
        <v>44300</v>
      </c>
      <c r="AA1076" s="1">
        <v>1234628.1299999999</v>
      </c>
      <c r="AB1076" s="1" t="s">
        <v>831</v>
      </c>
      <c r="AC1076" s="5">
        <v>44368</v>
      </c>
      <c r="AF1076" s="1">
        <v>10003</v>
      </c>
      <c r="AI1076" s="1" t="s">
        <v>45</v>
      </c>
      <c r="AJ1076" s="1">
        <v>2019</v>
      </c>
      <c r="AK1076" s="1" t="s">
        <v>87</v>
      </c>
      <c r="AL1076" s="1">
        <v>30</v>
      </c>
    </row>
    <row r="1077" spans="1:38" x14ac:dyDescent="0.2">
      <c r="A1077" s="2" t="str">
        <f>HYPERLINK("https://www.compass.com/listing/40-bleecker-street-unit-phc-manhattan-ny-10012/121639671166971793/","40 Bleecker St, Unit PHC")</f>
        <v>40 Bleecker St, Unit PHC</v>
      </c>
      <c r="B1077" s="2" t="str">
        <f>HYPERLINK("https://www.compass.com/building/40-bleecker-manhattan-ny/282058881784380757/","40 Bleecker")</f>
        <v>40 Bleecker</v>
      </c>
      <c r="C1077" s="1" t="s">
        <v>92</v>
      </c>
      <c r="D1077" s="1" t="s">
        <v>41</v>
      </c>
      <c r="E1077" s="3">
        <v>10100000</v>
      </c>
      <c r="F1077" s="1">
        <v>3537.6532399299399</v>
      </c>
      <c r="G1077" s="1">
        <v>9</v>
      </c>
      <c r="H1077" s="1">
        <v>4</v>
      </c>
      <c r="I1077" s="1">
        <v>5</v>
      </c>
      <c r="J1077" s="1">
        <v>4.5</v>
      </c>
      <c r="K1077" s="1">
        <v>4</v>
      </c>
      <c r="L1077" s="1">
        <v>1</v>
      </c>
      <c r="M1077" s="4">
        <v>2855</v>
      </c>
      <c r="N1077" s="1">
        <v>4234</v>
      </c>
      <c r="O1077" s="1">
        <v>9236</v>
      </c>
      <c r="P1077" s="1">
        <v>5002</v>
      </c>
      <c r="Q1077" s="1" t="s">
        <v>42</v>
      </c>
      <c r="S1077" s="1" t="s">
        <v>42</v>
      </c>
      <c r="T1077" s="1" t="s">
        <v>203</v>
      </c>
      <c r="U1077" s="1">
        <v>119</v>
      </c>
      <c r="V1077" s="5">
        <v>44188</v>
      </c>
      <c r="W1077" s="5">
        <v>43419</v>
      </c>
      <c r="X1077" s="1">
        <v>10100000</v>
      </c>
      <c r="Y1077" s="1">
        <v>10185000</v>
      </c>
      <c r="Z1077" s="5">
        <v>43539</v>
      </c>
      <c r="AA1077" s="1">
        <v>10100000</v>
      </c>
      <c r="AB1077" s="1" t="s">
        <v>832</v>
      </c>
      <c r="AC1077" s="5">
        <v>44183</v>
      </c>
      <c r="AF1077" s="1">
        <v>10012</v>
      </c>
      <c r="AI1077" s="1" t="s">
        <v>93</v>
      </c>
      <c r="AJ1077" s="1">
        <v>2019</v>
      </c>
      <c r="AK1077" s="1" t="s">
        <v>50</v>
      </c>
      <c r="AL1077" s="1">
        <v>61</v>
      </c>
    </row>
    <row r="1078" spans="1:38" x14ac:dyDescent="0.2">
      <c r="A1078" s="2" t="str">
        <f>HYPERLINK("https://www.compass.com/listing/32-east-1st-street-unit-5a-manhattan-ny-10003/227301244266390561/","32 E 1st St, Unit 5A")</f>
        <v>32 E 1st St, Unit 5A</v>
      </c>
      <c r="B1078" s="2" t="str">
        <f>HYPERLINK("https://www.compass.com/building/32-east-1st-street-manhattan-ny/292783157810310133/","32 East 1st Street")</f>
        <v>32 East 1st Street</v>
      </c>
      <c r="C1078" s="1" t="s">
        <v>88</v>
      </c>
      <c r="D1078" s="1" t="s">
        <v>41</v>
      </c>
      <c r="E1078" s="3">
        <v>2950000</v>
      </c>
      <c r="F1078" s="1">
        <v>2382.8756058158301</v>
      </c>
      <c r="G1078" s="1">
        <v>4</v>
      </c>
      <c r="H1078" s="1">
        <v>2</v>
      </c>
      <c r="I1078" s="1">
        <v>2</v>
      </c>
      <c r="J1078" s="1">
        <v>2</v>
      </c>
      <c r="K1078" s="1">
        <v>2</v>
      </c>
      <c r="M1078" s="4">
        <v>1238</v>
      </c>
      <c r="N1078" s="1">
        <v>1657</v>
      </c>
      <c r="O1078" s="1">
        <v>3523</v>
      </c>
      <c r="P1078" s="1">
        <v>1866</v>
      </c>
      <c r="Q1078" s="1" t="s">
        <v>42</v>
      </c>
      <c r="S1078" s="1" t="s">
        <v>42</v>
      </c>
      <c r="T1078" s="1" t="s">
        <v>203</v>
      </c>
      <c r="U1078" s="1">
        <v>122</v>
      </c>
      <c r="V1078" s="5">
        <v>43770</v>
      </c>
      <c r="W1078" s="5">
        <v>43564</v>
      </c>
      <c r="X1078" s="1">
        <v>3275000</v>
      </c>
      <c r="Y1078" s="1">
        <v>3275000</v>
      </c>
      <c r="Z1078" s="5">
        <v>43687</v>
      </c>
      <c r="AA1078" s="1">
        <v>2950000</v>
      </c>
      <c r="AB1078" s="1" t="s">
        <v>833</v>
      </c>
      <c r="AC1078" s="5">
        <v>43724</v>
      </c>
      <c r="AF1078" s="1">
        <v>10003</v>
      </c>
      <c r="AI1078" s="1" t="s">
        <v>127</v>
      </c>
      <c r="AJ1078" s="1">
        <v>2019</v>
      </c>
      <c r="AK1078" s="1" t="s">
        <v>55</v>
      </c>
      <c r="AL1078" s="1">
        <v>30</v>
      </c>
    </row>
    <row r="1079" spans="1:38" x14ac:dyDescent="0.2">
      <c r="A1079" s="2" t="str">
        <f>HYPERLINK("https://www.compass.com/listing/111-leroy-street-unit-6-manhattan-ny-10014/572942645692030225/","111 Leroy St, Unit 6")</f>
        <v>111 Leroy St, Unit 6</v>
      </c>
      <c r="B1079" s="2" t="str">
        <f>HYPERLINK("https://www.compass.com/building/111-leroy-st-manhattan-ny-10014/281921905882074869/","111 Leroy St")</f>
        <v>111 Leroy St</v>
      </c>
      <c r="C1079" s="1" t="s">
        <v>68</v>
      </c>
      <c r="D1079" s="1" t="s">
        <v>41</v>
      </c>
      <c r="E1079" s="3">
        <v>7500000</v>
      </c>
      <c r="F1079" s="1">
        <v>2225.5192878338198</v>
      </c>
      <c r="G1079" s="1">
        <v>10.5</v>
      </c>
      <c r="H1079" s="1">
        <v>4</v>
      </c>
      <c r="I1079" s="1">
        <v>5</v>
      </c>
      <c r="J1079" s="1">
        <v>4.5</v>
      </c>
      <c r="K1079" s="1">
        <v>4</v>
      </c>
      <c r="L1079" s="1">
        <v>1</v>
      </c>
      <c r="M1079" s="4">
        <v>3370</v>
      </c>
      <c r="N1079" s="1">
        <v>4077</v>
      </c>
      <c r="O1079" s="1">
        <v>8337</v>
      </c>
      <c r="P1079" s="1">
        <v>4260</v>
      </c>
      <c r="Q1079" s="1" t="s">
        <v>42</v>
      </c>
      <c r="S1079" s="1" t="s">
        <v>42</v>
      </c>
      <c r="T1079" s="1" t="s">
        <v>203</v>
      </c>
      <c r="U1079" s="1">
        <v>239</v>
      </c>
      <c r="V1079" s="5">
        <v>44314</v>
      </c>
      <c r="W1079" s="5">
        <v>44034</v>
      </c>
      <c r="AA1079" s="1">
        <v>7500000</v>
      </c>
      <c r="AB1079" s="1" t="s">
        <v>834</v>
      </c>
      <c r="AC1079" s="5">
        <v>44273</v>
      </c>
      <c r="AF1079" s="1">
        <v>10014</v>
      </c>
      <c r="AI1079" s="1" t="s">
        <v>76</v>
      </c>
      <c r="AJ1079" s="1">
        <v>2019</v>
      </c>
      <c r="AK1079" s="1" t="s">
        <v>121</v>
      </c>
      <c r="AL1079" s="1">
        <v>13</v>
      </c>
    </row>
    <row r="1080" spans="1:38" x14ac:dyDescent="0.2">
      <c r="A1080" s="2" t="str">
        <f>HYPERLINK("https://www.compass.com/listing/40-bleecker-street-unit-2g-manhattan-ny-10012/217223326576236561/","40 Bleecker St, Unit 2G")</f>
        <v>40 Bleecker St, Unit 2G</v>
      </c>
      <c r="B1080" s="2" t="str">
        <f t="shared" ref="B1080:B1083" si="188">HYPERLINK("https://www.compass.com/building/40-bleecker-manhattan-ny/282058881784380757/","40 Bleecker")</f>
        <v>40 Bleecker</v>
      </c>
      <c r="C1080" s="1" t="s">
        <v>92</v>
      </c>
      <c r="D1080" s="1" t="s">
        <v>41</v>
      </c>
      <c r="E1080" s="3">
        <v>3295000</v>
      </c>
      <c r="F1080" s="1">
        <v>2674.5129870129799</v>
      </c>
      <c r="G1080" s="1">
        <v>4</v>
      </c>
      <c r="H1080" s="1">
        <v>2</v>
      </c>
      <c r="I1080" s="1">
        <v>2</v>
      </c>
      <c r="J1080" s="1">
        <v>2</v>
      </c>
      <c r="K1080" s="1">
        <v>2</v>
      </c>
      <c r="M1080" s="4">
        <v>1232</v>
      </c>
      <c r="N1080" s="1">
        <v>1814</v>
      </c>
      <c r="O1080" s="1">
        <v>3956</v>
      </c>
      <c r="P1080" s="1">
        <v>2142</v>
      </c>
      <c r="Q1080" s="1" t="s">
        <v>42</v>
      </c>
      <c r="S1080" s="1" t="s">
        <v>42</v>
      </c>
      <c r="T1080" s="1" t="s">
        <v>203</v>
      </c>
      <c r="U1080" s="1">
        <v>225</v>
      </c>
      <c r="V1080" s="5">
        <v>44370</v>
      </c>
      <c r="W1080" s="5">
        <v>44056</v>
      </c>
      <c r="Y1080" s="1">
        <v>3365000</v>
      </c>
      <c r="Z1080" s="5">
        <v>44281</v>
      </c>
      <c r="AA1080" s="1">
        <v>3295000</v>
      </c>
      <c r="AB1080" s="1" t="s">
        <v>835</v>
      </c>
      <c r="AC1080" s="5">
        <v>44363</v>
      </c>
      <c r="AF1080" s="1">
        <v>10012</v>
      </c>
      <c r="AI1080" s="1" t="s">
        <v>98</v>
      </c>
      <c r="AJ1080" s="1">
        <v>2019</v>
      </c>
      <c r="AK1080" s="1" t="s">
        <v>129</v>
      </c>
      <c r="AL1080" s="1">
        <v>61</v>
      </c>
    </row>
    <row r="1081" spans="1:38" x14ac:dyDescent="0.2">
      <c r="A1081" s="2" t="str">
        <f>HYPERLINK("https://www.compass.com/listing/40-bleecker-street-unit-4a-manhattan-ny-10012/29515240668433873/","40 Bleecker St, Unit 4A")</f>
        <v>40 Bleecker St, Unit 4A</v>
      </c>
      <c r="B1081" s="2" t="str">
        <f t="shared" si="188"/>
        <v>40 Bleecker</v>
      </c>
      <c r="C1081" s="1" t="s">
        <v>92</v>
      </c>
      <c r="D1081" s="1" t="s">
        <v>41</v>
      </c>
      <c r="E1081" s="3">
        <v>4256285</v>
      </c>
      <c r="F1081" s="1">
        <v>2826.2184594953501</v>
      </c>
      <c r="G1081" s="1">
        <v>5</v>
      </c>
      <c r="H1081" s="1">
        <v>2</v>
      </c>
      <c r="I1081" s="1">
        <v>3</v>
      </c>
      <c r="J1081" s="1">
        <v>2.5</v>
      </c>
      <c r="K1081" s="1">
        <v>2</v>
      </c>
      <c r="L1081" s="1">
        <v>1</v>
      </c>
      <c r="M1081" s="4">
        <v>1506</v>
      </c>
      <c r="N1081" s="1">
        <v>2189</v>
      </c>
      <c r="O1081" s="1">
        <v>4774</v>
      </c>
      <c r="P1081" s="1">
        <v>2585</v>
      </c>
      <c r="Q1081" s="1" t="s">
        <v>42</v>
      </c>
      <c r="S1081" s="1" t="s">
        <v>42</v>
      </c>
      <c r="T1081" s="1" t="s">
        <v>203</v>
      </c>
      <c r="U1081" s="1">
        <v>898</v>
      </c>
      <c r="V1081" s="5">
        <v>44225</v>
      </c>
      <c r="W1081" s="5">
        <v>43157</v>
      </c>
      <c r="X1081" s="1">
        <v>4145000</v>
      </c>
      <c r="Y1081" s="1">
        <v>4145000</v>
      </c>
      <c r="Z1081" s="5">
        <v>43158</v>
      </c>
      <c r="AA1081" s="1">
        <v>4256285</v>
      </c>
      <c r="AB1081" s="1" t="s">
        <v>836</v>
      </c>
      <c r="AC1081" s="5">
        <v>44151</v>
      </c>
      <c r="AF1081" s="1">
        <v>10012</v>
      </c>
      <c r="AI1081" s="1" t="s">
        <v>58</v>
      </c>
      <c r="AJ1081" s="1">
        <v>2019</v>
      </c>
      <c r="AK1081" s="1" t="s">
        <v>50</v>
      </c>
      <c r="AL1081" s="1">
        <v>61</v>
      </c>
    </row>
    <row r="1082" spans="1:38" x14ac:dyDescent="0.2">
      <c r="A1082" s="2" t="str">
        <f>HYPERLINK("https://www.compass.com/listing/40-bleecker-street-unit-9f-manhattan-ny-10012/399933379211256577/","40 Bleecker St, Unit 9F")</f>
        <v>40 Bleecker St, Unit 9F</v>
      </c>
      <c r="B1082" s="2" t="str">
        <f t="shared" si="188"/>
        <v>40 Bleecker</v>
      </c>
      <c r="C1082" s="1" t="s">
        <v>92</v>
      </c>
      <c r="D1082" s="1" t="s">
        <v>41</v>
      </c>
      <c r="E1082" s="3">
        <v>3700000</v>
      </c>
      <c r="F1082" s="1">
        <v>2794.5619335347401</v>
      </c>
      <c r="G1082" s="1">
        <v>4</v>
      </c>
      <c r="H1082" s="1">
        <v>2</v>
      </c>
      <c r="I1082" s="1">
        <v>3</v>
      </c>
      <c r="J1082" s="1">
        <v>3</v>
      </c>
      <c r="K1082" s="1">
        <v>3</v>
      </c>
      <c r="M1082" s="4">
        <v>1324</v>
      </c>
      <c r="N1082" s="1">
        <v>1924</v>
      </c>
      <c r="O1082" s="1">
        <v>4197</v>
      </c>
      <c r="P1082" s="1">
        <v>2273</v>
      </c>
      <c r="Q1082" s="1" t="s">
        <v>42</v>
      </c>
      <c r="S1082" s="1" t="s">
        <v>42</v>
      </c>
      <c r="T1082" s="1" t="s">
        <v>203</v>
      </c>
      <c r="U1082" s="1">
        <v>691</v>
      </c>
      <c r="V1082" s="5">
        <v>44225</v>
      </c>
      <c r="W1082" s="5">
        <v>43112</v>
      </c>
      <c r="X1082" s="1">
        <v>3900000</v>
      </c>
      <c r="Y1082" s="1">
        <v>3900000</v>
      </c>
      <c r="Z1082" s="5">
        <v>43804</v>
      </c>
      <c r="AA1082" s="1">
        <v>3700000</v>
      </c>
      <c r="AB1082" s="1" t="s">
        <v>837</v>
      </c>
      <c r="AC1082" s="5">
        <v>44167</v>
      </c>
      <c r="AF1082" s="1">
        <v>10012</v>
      </c>
      <c r="AI1082" s="1" t="s">
        <v>58</v>
      </c>
      <c r="AJ1082" s="1">
        <v>2019</v>
      </c>
      <c r="AK1082" s="1" t="s">
        <v>50</v>
      </c>
      <c r="AL1082" s="1">
        <v>61</v>
      </c>
    </row>
    <row r="1083" spans="1:38" x14ac:dyDescent="0.2">
      <c r="A1083" s="2" t="str">
        <f>HYPERLINK("https://www.compass.com/listing/40-bleecker-street-unit-6f-manhattan-ny-10012/803375327715925233/","40 Bleecker St, Unit 6F")</f>
        <v>40 Bleecker St, Unit 6F</v>
      </c>
      <c r="B1083" s="2" t="str">
        <f t="shared" si="188"/>
        <v>40 Bleecker</v>
      </c>
      <c r="C1083" s="1" t="s">
        <v>92</v>
      </c>
      <c r="D1083" s="1" t="s">
        <v>41</v>
      </c>
      <c r="E1083" s="3">
        <v>3485000</v>
      </c>
      <c r="F1083" s="1">
        <v>2632.1752265861001</v>
      </c>
      <c r="G1083" s="1">
        <v>5</v>
      </c>
      <c r="H1083" s="1">
        <v>2</v>
      </c>
      <c r="I1083" s="1">
        <v>3</v>
      </c>
      <c r="J1083" s="1">
        <v>2.5</v>
      </c>
      <c r="K1083" s="1">
        <v>2</v>
      </c>
      <c r="L1083" s="1">
        <v>1</v>
      </c>
      <c r="M1083" s="4">
        <v>1324</v>
      </c>
      <c r="N1083" s="1">
        <v>1924</v>
      </c>
      <c r="O1083" s="1">
        <v>4197</v>
      </c>
      <c r="P1083" s="1">
        <v>2273</v>
      </c>
      <c r="Q1083" s="1" t="s">
        <v>42</v>
      </c>
      <c r="S1083" s="1" t="s">
        <v>42</v>
      </c>
      <c r="T1083" s="1" t="s">
        <v>203</v>
      </c>
      <c r="U1083" s="1">
        <v>678</v>
      </c>
      <c r="V1083" s="5">
        <v>44280</v>
      </c>
      <c r="W1083" s="5">
        <v>43396</v>
      </c>
      <c r="X1083" s="1">
        <v>3500000</v>
      </c>
      <c r="Y1083" s="1">
        <v>3500000</v>
      </c>
      <c r="AA1083" s="1">
        <v>3485000</v>
      </c>
      <c r="AB1083" s="1" t="s">
        <v>838</v>
      </c>
      <c r="AC1083" s="5">
        <v>44260</v>
      </c>
      <c r="AF1083" s="1">
        <v>10012</v>
      </c>
      <c r="AI1083" s="1" t="s">
        <v>58</v>
      </c>
      <c r="AJ1083" s="1">
        <v>2019</v>
      </c>
      <c r="AK1083" s="1" t="s">
        <v>50</v>
      </c>
      <c r="AL1083" s="1">
        <v>61</v>
      </c>
    </row>
    <row r="1084" spans="1:38" x14ac:dyDescent="0.2">
      <c r="A1084" s="2" t="str">
        <f>HYPERLINK("https://www.compass.com/listing/210-bowery-unit-4-manhattan-ny-10012/29512771389414081/","210 Bowery, Unit 4")</f>
        <v>210 Bowery, Unit 4</v>
      </c>
      <c r="B1084" s="2" t="str">
        <f>HYPERLINK("https://www.compass.com/building/210-bowery-manhattan-ny-10012/281914022184383861/","210 Bowery")</f>
        <v>210 Bowery</v>
      </c>
      <c r="C1084" s="1" t="s">
        <v>118</v>
      </c>
      <c r="D1084" s="1" t="s">
        <v>41</v>
      </c>
      <c r="E1084" s="3">
        <v>3668754</v>
      </c>
      <c r="F1084" s="1">
        <v>1686.00827205882</v>
      </c>
      <c r="G1084" s="1">
        <v>6</v>
      </c>
      <c r="H1084" s="1">
        <v>3</v>
      </c>
      <c r="I1084" s="1">
        <v>3</v>
      </c>
      <c r="J1084" s="1">
        <v>3</v>
      </c>
      <c r="K1084" s="1">
        <v>3</v>
      </c>
      <c r="M1084" s="4">
        <v>2176</v>
      </c>
      <c r="N1084" s="1">
        <v>1335</v>
      </c>
      <c r="O1084" s="1">
        <v>2825</v>
      </c>
      <c r="P1084" s="1">
        <v>1490</v>
      </c>
      <c r="Q1084" s="1" t="s">
        <v>42</v>
      </c>
      <c r="S1084" s="1" t="s">
        <v>42</v>
      </c>
      <c r="T1084" s="1" t="s">
        <v>203</v>
      </c>
      <c r="U1084" s="1">
        <v>12</v>
      </c>
      <c r="V1084" s="5">
        <v>43648</v>
      </c>
      <c r="W1084" s="5">
        <v>43188</v>
      </c>
      <c r="X1084" s="1">
        <v>3925000</v>
      </c>
      <c r="Y1084" s="1">
        <v>3925000</v>
      </c>
      <c r="Z1084" s="5">
        <v>43200</v>
      </c>
      <c r="AA1084" s="1">
        <v>3668754</v>
      </c>
      <c r="AB1084" s="1" t="s">
        <v>839</v>
      </c>
      <c r="AC1084" s="5">
        <v>43452</v>
      </c>
      <c r="AF1084" s="1">
        <v>10012</v>
      </c>
      <c r="AI1084" s="1" t="s">
        <v>45</v>
      </c>
      <c r="AJ1084" s="1">
        <v>2016</v>
      </c>
      <c r="AL1084" s="1">
        <v>7</v>
      </c>
    </row>
    <row r="1085" spans="1:38" x14ac:dyDescent="0.2">
      <c r="A1085" s="2" t="str">
        <f>HYPERLINK("https://www.compass.com/listing/40-bleecker-street-unit-6b-manhattan-ny-10012/797714561510034729/","40 Bleecker St, Unit 6B")</f>
        <v>40 Bleecker St, Unit 6B</v>
      </c>
      <c r="B1085" s="2" t="str">
        <f>HYPERLINK("https://www.compass.com/building/40-bleecker-manhattan-ny/282058881784380757/","40 Bleecker")</f>
        <v>40 Bleecker</v>
      </c>
      <c r="C1085" s="1" t="s">
        <v>92</v>
      </c>
      <c r="D1085" s="1" t="s">
        <v>41</v>
      </c>
      <c r="E1085" s="3">
        <v>6460000</v>
      </c>
      <c r="F1085" s="1">
        <v>3328.1813498196798</v>
      </c>
      <c r="G1085" s="1">
        <v>6</v>
      </c>
      <c r="H1085" s="1">
        <v>3</v>
      </c>
      <c r="J1085" s="1">
        <v>3.5</v>
      </c>
      <c r="M1085" s="4">
        <v>1941</v>
      </c>
      <c r="N1085" s="1">
        <v>2821</v>
      </c>
      <c r="O1085" s="1">
        <v>6153</v>
      </c>
      <c r="P1085" s="1">
        <v>3332</v>
      </c>
      <c r="S1085" s="1" t="s">
        <v>42</v>
      </c>
      <c r="T1085" s="1" t="s">
        <v>203</v>
      </c>
      <c r="V1085" s="5">
        <v>44366</v>
      </c>
      <c r="Y1085" s="1">
        <v>6460000</v>
      </c>
      <c r="Z1085" s="5">
        <v>44352</v>
      </c>
      <c r="AA1085" s="1">
        <v>6460000</v>
      </c>
      <c r="AB1085" s="1" t="s">
        <v>204</v>
      </c>
      <c r="AC1085" s="5">
        <v>44365</v>
      </c>
      <c r="AF1085" s="1">
        <v>10012</v>
      </c>
      <c r="AI1085" s="1" t="s">
        <v>67</v>
      </c>
      <c r="AJ1085" s="1">
        <v>2019</v>
      </c>
      <c r="AK1085" s="1" t="s">
        <v>81</v>
      </c>
      <c r="AL1085" s="1">
        <v>61</v>
      </c>
    </row>
    <row r="1086" spans="1:38" x14ac:dyDescent="0.2">
      <c r="A1086" s="2" t="str">
        <f>HYPERLINK("https://www.compass.com/listing/101-west-78th-street-unit-4b-manhattan-ny-10024/466688082444770721/","101 W 78th St, Unit 4B")</f>
        <v>101 W 78th St, Unit 4B</v>
      </c>
      <c r="B1086" s="2" t="str">
        <f>HYPERLINK("https://www.compass.com/building/101-w-78th-st-manhattan-ny-10024/281961405798754085/","101 W 78th St")</f>
        <v>101 W 78th St</v>
      </c>
      <c r="C1086" s="1" t="s">
        <v>47</v>
      </c>
      <c r="D1086" s="1" t="s">
        <v>41</v>
      </c>
      <c r="E1086" s="3">
        <v>6050000</v>
      </c>
      <c r="F1086" s="1">
        <v>1871.90594059405</v>
      </c>
      <c r="G1086" s="1">
        <v>7</v>
      </c>
      <c r="H1086" s="1">
        <v>4</v>
      </c>
      <c r="I1086" s="1">
        <v>3</v>
      </c>
      <c r="J1086" s="1">
        <v>2.5</v>
      </c>
      <c r="K1086" s="1">
        <v>2</v>
      </c>
      <c r="L1086" s="1">
        <v>1</v>
      </c>
      <c r="M1086" s="4">
        <v>3232</v>
      </c>
      <c r="N1086" s="1">
        <v>4680</v>
      </c>
      <c r="O1086" s="1">
        <v>7701</v>
      </c>
      <c r="P1086" s="1">
        <v>3021</v>
      </c>
      <c r="Q1086" s="1" t="s">
        <v>42</v>
      </c>
      <c r="S1086" s="1" t="s">
        <v>42</v>
      </c>
      <c r="T1086" s="1" t="s">
        <v>203</v>
      </c>
      <c r="U1086" s="1">
        <v>708</v>
      </c>
      <c r="V1086" s="5">
        <v>44049</v>
      </c>
      <c r="W1086" s="5">
        <v>43219</v>
      </c>
      <c r="X1086" s="1">
        <v>7750000</v>
      </c>
      <c r="Y1086" s="1">
        <v>6975000</v>
      </c>
      <c r="Z1086" s="5">
        <v>44022</v>
      </c>
      <c r="AA1086" s="1">
        <v>6050000</v>
      </c>
      <c r="AB1086" s="1" t="s">
        <v>840</v>
      </c>
      <c r="AC1086" s="5">
        <v>44034</v>
      </c>
      <c r="AF1086" s="1">
        <v>10024</v>
      </c>
      <c r="AI1086" s="1" t="s">
        <v>784</v>
      </c>
      <c r="AJ1086" s="1">
        <v>1886</v>
      </c>
      <c r="AK1086" s="1" t="s">
        <v>81</v>
      </c>
      <c r="AL1086" s="1">
        <v>21</v>
      </c>
    </row>
    <row r="1087" spans="1:38" x14ac:dyDescent="0.2">
      <c r="A1087" s="2" t="str">
        <f>HYPERLINK("https://www.compass.com/listing/40-bleecker-street-unit-6a-manhattan-ny-10012/745740919592411497/","40 Bleecker St, Unit 6A")</f>
        <v>40 Bleecker St, Unit 6A</v>
      </c>
      <c r="B1087" s="2" t="str">
        <f>HYPERLINK("https://www.compass.com/building/40-bleecker-manhattan-ny/282058881784380757/","40 Bleecker")</f>
        <v>40 Bleecker</v>
      </c>
      <c r="C1087" s="1" t="s">
        <v>92</v>
      </c>
      <c r="D1087" s="1" t="s">
        <v>41</v>
      </c>
      <c r="E1087" s="3">
        <v>4225000</v>
      </c>
      <c r="F1087" s="1">
        <v>2805.4448871181899</v>
      </c>
      <c r="G1087" s="1">
        <v>4</v>
      </c>
      <c r="H1087" s="1">
        <v>2</v>
      </c>
      <c r="I1087" s="1">
        <v>3</v>
      </c>
      <c r="J1087" s="1">
        <v>2.5</v>
      </c>
      <c r="K1087" s="1">
        <v>2</v>
      </c>
      <c r="L1087" s="1">
        <v>1</v>
      </c>
      <c r="M1087" s="4">
        <v>1506</v>
      </c>
      <c r="N1087" s="1">
        <v>2188</v>
      </c>
      <c r="O1087" s="1">
        <v>4773</v>
      </c>
      <c r="P1087" s="1">
        <v>2585</v>
      </c>
      <c r="Q1087" s="1" t="s">
        <v>42</v>
      </c>
      <c r="S1087" s="1" t="s">
        <v>42</v>
      </c>
      <c r="T1087" s="1" t="s">
        <v>203</v>
      </c>
      <c r="U1087" s="1">
        <v>790</v>
      </c>
      <c r="V1087" s="5">
        <v>44427</v>
      </c>
      <c r="W1087" s="5">
        <v>43396</v>
      </c>
      <c r="X1087" s="1">
        <v>4345000</v>
      </c>
      <c r="Y1087" s="1">
        <v>4345000</v>
      </c>
      <c r="Z1087" s="5">
        <v>44281</v>
      </c>
      <c r="AA1087" s="1">
        <v>4225000</v>
      </c>
      <c r="AB1087" s="1" t="s">
        <v>827</v>
      </c>
      <c r="AC1087" s="5">
        <v>44363</v>
      </c>
      <c r="AF1087" s="1">
        <v>10012</v>
      </c>
      <c r="AI1087" s="1" t="s">
        <v>58</v>
      </c>
      <c r="AJ1087" s="1">
        <v>2019</v>
      </c>
      <c r="AK1087" s="1" t="s">
        <v>94</v>
      </c>
      <c r="AL1087" s="1">
        <v>61</v>
      </c>
    </row>
    <row r="1088" spans="1:38" x14ac:dyDescent="0.2">
      <c r="A1088" s="2" t="str">
        <f>HYPERLINK("https://www.compass.com/listing/32-east-1st-street-unit-ph8a-manhattan-ny-10003/29515146028181569/","32 E 1st St, Unit PH8A")</f>
        <v>32 E 1st St, Unit PH8A</v>
      </c>
      <c r="B1088" s="2" t="str">
        <f>HYPERLINK("https://www.compass.com/building/32-east-1st-street-manhattan-ny/292783157810310133/","32 East 1st Street")</f>
        <v>32 East 1st Street</v>
      </c>
      <c r="C1088" s="1" t="s">
        <v>88</v>
      </c>
      <c r="D1088" s="1" t="s">
        <v>41</v>
      </c>
      <c r="E1088" s="3">
        <v>5956762</v>
      </c>
      <c r="F1088" s="1">
        <v>3005.4298688193699</v>
      </c>
      <c r="G1088" s="1">
        <v>4</v>
      </c>
      <c r="H1088" s="1">
        <v>2</v>
      </c>
      <c r="I1088" s="1">
        <v>3</v>
      </c>
      <c r="J1088" s="1">
        <v>2.5</v>
      </c>
      <c r="K1088" s="1">
        <v>2</v>
      </c>
      <c r="L1088" s="1">
        <v>1</v>
      </c>
      <c r="M1088" s="4">
        <v>1982</v>
      </c>
      <c r="N1088" s="1">
        <v>3075</v>
      </c>
      <c r="O1088" s="1">
        <v>6435</v>
      </c>
      <c r="P1088" s="1">
        <v>3360</v>
      </c>
      <c r="Q1088" s="1" t="s">
        <v>42</v>
      </c>
      <c r="S1088" s="1" t="s">
        <v>42</v>
      </c>
      <c r="T1088" s="1" t="s">
        <v>203</v>
      </c>
      <c r="V1088" s="5">
        <v>43694</v>
      </c>
      <c r="W1088" s="5">
        <v>43048</v>
      </c>
      <c r="X1088" s="1">
        <v>5850000</v>
      </c>
      <c r="Y1088" s="1">
        <v>5850000</v>
      </c>
      <c r="Z1088" s="5">
        <v>43048</v>
      </c>
      <c r="AA1088" s="1">
        <v>5956762</v>
      </c>
      <c r="AB1088" s="1" t="s">
        <v>841</v>
      </c>
      <c r="AC1088" s="5">
        <v>43643</v>
      </c>
      <c r="AF1088" s="1">
        <v>10003</v>
      </c>
      <c r="AI1088" s="1" t="s">
        <v>115</v>
      </c>
      <c r="AJ1088" s="1">
        <v>2019</v>
      </c>
      <c r="AK1088" s="1" t="s">
        <v>55</v>
      </c>
      <c r="AL1088" s="1">
        <v>30</v>
      </c>
    </row>
    <row r="1089" spans="1:38" x14ac:dyDescent="0.2">
      <c r="A1089" s="2" t="str">
        <f>HYPERLINK("https://www.compass.com/listing/175-west-95th-street-unit-5c-manhattan-ny-10025/29400319138023985/","175 W 95th St, Unit 5C")</f>
        <v>175 W 95th St, Unit 5C</v>
      </c>
      <c r="B1089" s="2" t="str">
        <f t="shared" ref="B1089:B1090" si="189">HYPERLINK("https://www.compass.com/building/175-w-95th-manhattan-ny/292876785429866517/","175 W 95th")</f>
        <v>175 W 95th</v>
      </c>
      <c r="C1089" s="1" t="s">
        <v>47</v>
      </c>
      <c r="D1089" s="1" t="s">
        <v>41</v>
      </c>
      <c r="E1089" s="3">
        <v>1868489</v>
      </c>
      <c r="F1089" s="1">
        <v>1491.21229050279</v>
      </c>
      <c r="G1089" s="1">
        <v>5</v>
      </c>
      <c r="H1089" s="1">
        <v>3</v>
      </c>
      <c r="I1089" s="1">
        <v>2</v>
      </c>
      <c r="J1089" s="1">
        <v>2</v>
      </c>
      <c r="M1089" s="4">
        <v>1253</v>
      </c>
      <c r="Q1089" s="1" t="s">
        <v>42</v>
      </c>
      <c r="S1089" s="1" t="s">
        <v>42</v>
      </c>
      <c r="T1089" s="1" t="s">
        <v>203</v>
      </c>
      <c r="U1089" s="1">
        <v>13</v>
      </c>
      <c r="V1089" s="5">
        <v>43703</v>
      </c>
      <c r="W1089" s="5">
        <v>42099</v>
      </c>
      <c r="X1089" s="1">
        <v>1835000</v>
      </c>
      <c r="Y1089" s="1">
        <v>1835000</v>
      </c>
      <c r="Z1089" s="5">
        <v>42112</v>
      </c>
      <c r="AA1089" s="1">
        <v>1868489</v>
      </c>
      <c r="AB1089" s="1" t="s">
        <v>842</v>
      </c>
      <c r="AC1089" s="5">
        <v>42294</v>
      </c>
      <c r="AF1089" s="1">
        <v>10025</v>
      </c>
      <c r="AI1089" s="1" t="s">
        <v>52</v>
      </c>
      <c r="AJ1089" s="1">
        <v>1971</v>
      </c>
      <c r="AK1089" s="1" t="s">
        <v>50</v>
      </c>
      <c r="AL1089" s="1">
        <v>226</v>
      </c>
    </row>
    <row r="1090" spans="1:38" x14ac:dyDescent="0.2">
      <c r="A1090" s="2" t="str">
        <f>HYPERLINK("https://www.compass.com/listing/175-west-95th-street-unit-7h-manhattan-ny-10025/181962235373957505/","175 W 95th St, Unit 7H")</f>
        <v>175 W 95th St, Unit 7H</v>
      </c>
      <c r="B1090" s="2" t="str">
        <f t="shared" si="189"/>
        <v>175 W 95th</v>
      </c>
      <c r="C1090" s="1" t="s">
        <v>47</v>
      </c>
      <c r="D1090" s="1" t="s">
        <v>41</v>
      </c>
      <c r="E1090" s="3">
        <v>719000</v>
      </c>
      <c r="F1090" s="1">
        <v>1426.5873015873001</v>
      </c>
      <c r="G1090" s="1">
        <v>2.5</v>
      </c>
      <c r="H1090" s="1" t="s">
        <v>77</v>
      </c>
      <c r="I1090" s="1">
        <v>1</v>
      </c>
      <c r="J1090" s="1">
        <v>1</v>
      </c>
      <c r="K1090" s="1">
        <v>1</v>
      </c>
      <c r="M1090" s="1">
        <v>504</v>
      </c>
      <c r="N1090" s="1">
        <v>537.94000000000005</v>
      </c>
      <c r="O1090" s="1">
        <v>850.36</v>
      </c>
      <c r="P1090" s="1">
        <v>312.416666666666</v>
      </c>
      <c r="Q1090" s="1" t="s">
        <v>42</v>
      </c>
      <c r="S1090" s="1" t="s">
        <v>42</v>
      </c>
      <c r="T1090" s="1" t="s">
        <v>203</v>
      </c>
      <c r="U1090" s="1">
        <v>118</v>
      </c>
      <c r="V1090" s="5">
        <v>43685</v>
      </c>
      <c r="W1090" s="5">
        <v>43503</v>
      </c>
      <c r="X1090" s="1">
        <v>750000</v>
      </c>
      <c r="Y1090" s="1">
        <v>719000</v>
      </c>
      <c r="Z1090" s="5">
        <v>43621</v>
      </c>
      <c r="AA1090" s="1">
        <v>719000</v>
      </c>
      <c r="AB1090" s="1" t="s">
        <v>843</v>
      </c>
      <c r="AC1090" s="5">
        <v>43668</v>
      </c>
      <c r="AF1090" s="1">
        <v>10025</v>
      </c>
      <c r="AI1090" s="1" t="s">
        <v>49</v>
      </c>
      <c r="AJ1090" s="1">
        <v>1971</v>
      </c>
      <c r="AK1090" s="1" t="s">
        <v>81</v>
      </c>
      <c r="AL1090" s="1">
        <v>226</v>
      </c>
    </row>
    <row r="1091" spans="1:38" x14ac:dyDescent="0.2">
      <c r="A1091" s="2" t="str">
        <f>HYPERLINK("https://www.compass.com/listing/225-west-86th-street-unit-315-manhattan-ny-10024/145603191457742785/","225 W 86th St, Unit 315")</f>
        <v>225 W 86th St, Unit 315</v>
      </c>
      <c r="B1091" s="2" t="str">
        <f t="shared" ref="B1091:B1092" si="190">HYPERLINK("https://www.compass.com/building/the-belnord-manhattan-ny/292869672083214101/","The Belnord")</f>
        <v>The Belnord</v>
      </c>
      <c r="C1091" s="1" t="s">
        <v>47</v>
      </c>
      <c r="D1091" s="1" t="s">
        <v>41</v>
      </c>
      <c r="E1091" s="3">
        <v>2741445</v>
      </c>
      <c r="G1091" s="1">
        <v>4</v>
      </c>
      <c r="H1091" s="1">
        <v>3</v>
      </c>
      <c r="I1091" s="1">
        <v>3</v>
      </c>
      <c r="J1091" s="1">
        <v>2.5</v>
      </c>
      <c r="K1091" s="1">
        <v>2</v>
      </c>
      <c r="L1091" s="1">
        <v>1</v>
      </c>
      <c r="N1091" s="1">
        <v>1881</v>
      </c>
      <c r="O1091" s="1">
        <v>4815</v>
      </c>
      <c r="P1091" s="1">
        <v>2934</v>
      </c>
      <c r="Q1091" s="1" t="s">
        <v>42</v>
      </c>
      <c r="S1091" s="1" t="s">
        <v>42</v>
      </c>
      <c r="T1091" s="1" t="s">
        <v>203</v>
      </c>
      <c r="V1091" s="5">
        <v>44349</v>
      </c>
      <c r="W1091" s="5">
        <v>43453</v>
      </c>
      <c r="X1091" s="1">
        <v>5750000</v>
      </c>
      <c r="Y1091" s="1">
        <v>5750000</v>
      </c>
      <c r="Z1091" s="5">
        <v>43453</v>
      </c>
      <c r="AA1091" s="1">
        <v>2741445</v>
      </c>
      <c r="AB1091" s="1" t="s">
        <v>204</v>
      </c>
      <c r="AC1091" s="5">
        <v>43567</v>
      </c>
      <c r="AF1091" s="1">
        <v>10024</v>
      </c>
      <c r="AI1091" s="1" t="s">
        <v>67</v>
      </c>
      <c r="AJ1091" s="1">
        <v>1908</v>
      </c>
      <c r="AK1091" s="1" t="s">
        <v>81</v>
      </c>
      <c r="AL1091" s="1">
        <v>213</v>
      </c>
    </row>
    <row r="1092" spans="1:38" x14ac:dyDescent="0.2">
      <c r="A1092" s="2" t="str">
        <f>HYPERLINK("https://www.compass.com/listing/225-west-86th-street-unit-408-manhattan-ny-10024/96302678476423649/","225 W 86th St, Unit 408")</f>
        <v>225 W 86th St, Unit 408</v>
      </c>
      <c r="B1092" s="2" t="str">
        <f t="shared" si="190"/>
        <v>The Belnord</v>
      </c>
      <c r="C1092" s="1" t="s">
        <v>47</v>
      </c>
      <c r="D1092" s="1" t="s">
        <v>41</v>
      </c>
      <c r="E1092" s="3">
        <v>3431805</v>
      </c>
      <c r="F1092" s="1">
        <v>1527.28304405874</v>
      </c>
      <c r="G1092" s="1">
        <v>8.5</v>
      </c>
      <c r="H1092" s="1">
        <v>3</v>
      </c>
      <c r="I1092" s="1">
        <v>4</v>
      </c>
      <c r="J1092" s="1">
        <v>3.5</v>
      </c>
      <c r="K1092" s="1">
        <v>3</v>
      </c>
      <c r="L1092" s="1">
        <v>1</v>
      </c>
      <c r="M1092" s="4">
        <v>2247</v>
      </c>
      <c r="N1092" s="1">
        <v>1913</v>
      </c>
      <c r="O1092" s="1">
        <v>4896</v>
      </c>
      <c r="P1092" s="1">
        <v>2983</v>
      </c>
      <c r="Q1092" s="1" t="s">
        <v>42</v>
      </c>
      <c r="S1092" s="1" t="s">
        <v>42</v>
      </c>
      <c r="T1092" s="1" t="s">
        <v>203</v>
      </c>
      <c r="V1092" s="5">
        <v>43648</v>
      </c>
      <c r="W1092" s="5">
        <v>43385</v>
      </c>
      <c r="X1092" s="1">
        <v>5900000</v>
      </c>
      <c r="Y1092" s="1">
        <v>5900000</v>
      </c>
      <c r="Z1092" s="5">
        <v>43385</v>
      </c>
      <c r="AA1092" s="1">
        <v>3431805</v>
      </c>
      <c r="AB1092" s="1" t="s">
        <v>204</v>
      </c>
      <c r="AC1092" s="5">
        <v>43568</v>
      </c>
      <c r="AF1092" s="1">
        <v>10024</v>
      </c>
      <c r="AI1092" s="1" t="s">
        <v>67</v>
      </c>
      <c r="AJ1092" s="1">
        <v>1908</v>
      </c>
      <c r="AK1092" s="1" t="s">
        <v>81</v>
      </c>
      <c r="AL1092" s="1">
        <v>213</v>
      </c>
    </row>
    <row r="1093" spans="1:38" x14ac:dyDescent="0.2">
      <c r="A1093" s="2" t="str">
        <f>HYPERLINK("https://www.compass.com/listing/275-west-10th-street-unit-6d-manhattan-ny-10014/780095983240295481/","275 W 10th St, Unit 6D")</f>
        <v>275 W 10th St, Unit 6D</v>
      </c>
      <c r="B1093" s="2" t="str">
        <f>HYPERLINK("https://www.compass.com/building/the-shephard-manhattan-ny/281931968864632917/","The Shephard")</f>
        <v>The Shephard</v>
      </c>
      <c r="C1093" s="1" t="s">
        <v>68</v>
      </c>
      <c r="D1093" s="1" t="s">
        <v>41</v>
      </c>
      <c r="E1093" s="3">
        <v>11800000</v>
      </c>
      <c r="F1093" s="1">
        <v>3101.1826544021001</v>
      </c>
      <c r="G1093" s="1">
        <v>7</v>
      </c>
      <c r="H1093" s="1">
        <v>4</v>
      </c>
      <c r="I1093" s="1">
        <v>4</v>
      </c>
      <c r="J1093" s="1">
        <v>4</v>
      </c>
      <c r="K1093" s="1">
        <v>4</v>
      </c>
      <c r="M1093" s="4">
        <v>3805</v>
      </c>
      <c r="N1093" s="1">
        <v>3645</v>
      </c>
      <c r="O1093" s="1">
        <v>7565</v>
      </c>
      <c r="P1093" s="1">
        <v>3920</v>
      </c>
      <c r="Q1093" s="1" t="s">
        <v>42</v>
      </c>
      <c r="S1093" s="1" t="s">
        <v>42</v>
      </c>
      <c r="T1093" s="1" t="s">
        <v>203</v>
      </c>
      <c r="V1093" s="5">
        <v>44342</v>
      </c>
      <c r="W1093" s="5">
        <v>44327</v>
      </c>
      <c r="X1093" s="1">
        <v>12700000</v>
      </c>
      <c r="Y1093" s="1">
        <v>12700000</v>
      </c>
      <c r="Z1093" s="5">
        <v>44328</v>
      </c>
      <c r="AA1093" s="1">
        <v>11800000</v>
      </c>
      <c r="AB1093" s="1" t="s">
        <v>696</v>
      </c>
      <c r="AC1093" s="5">
        <v>44340</v>
      </c>
      <c r="AF1093" s="1">
        <v>10014</v>
      </c>
      <c r="AI1093" s="1" t="s">
        <v>67</v>
      </c>
      <c r="AJ1093" s="1">
        <v>2015</v>
      </c>
      <c r="AK1093" s="1" t="s">
        <v>87</v>
      </c>
      <c r="AL1093" s="1">
        <v>38</v>
      </c>
    </row>
    <row r="1094" spans="1:38" x14ac:dyDescent="0.2">
      <c r="A1094" s="2" t="str">
        <f>HYPERLINK("https://www.compass.com/listing/32-east-1st-street-unit-3c-manhattan-ny-10003/166764855783631889/","32 E 1st St, Unit 3C")</f>
        <v>32 E 1st St, Unit 3C</v>
      </c>
      <c r="B1094" s="2" t="str">
        <f t="shared" ref="B1094:B1095" si="191">HYPERLINK("https://www.compass.com/building/32-east-1st-street-manhattan-ny/292783157810310133/","32 East 1st Street")</f>
        <v>32 East 1st Street</v>
      </c>
      <c r="C1094" s="1" t="s">
        <v>88</v>
      </c>
      <c r="D1094" s="1" t="s">
        <v>41</v>
      </c>
      <c r="E1094" s="3">
        <v>3650000</v>
      </c>
      <c r="F1094" s="1">
        <v>2415.6187954996599</v>
      </c>
      <c r="G1094" s="1">
        <v>6</v>
      </c>
      <c r="H1094" s="1">
        <v>3</v>
      </c>
      <c r="I1094" s="1">
        <v>3</v>
      </c>
      <c r="J1094" s="1">
        <v>3</v>
      </c>
      <c r="K1094" s="1">
        <v>3</v>
      </c>
      <c r="M1094" s="4">
        <v>1511</v>
      </c>
      <c r="N1094" s="1">
        <v>1887</v>
      </c>
      <c r="O1094" s="1">
        <v>3950</v>
      </c>
      <c r="P1094" s="1">
        <v>2063</v>
      </c>
      <c r="Q1094" s="1" t="s">
        <v>42</v>
      </c>
      <c r="S1094" s="1" t="s">
        <v>42</v>
      </c>
      <c r="T1094" s="1" t="s">
        <v>203</v>
      </c>
      <c r="U1094" s="1">
        <v>174</v>
      </c>
      <c r="V1094" s="5">
        <v>43687</v>
      </c>
      <c r="W1094" s="5">
        <v>43371</v>
      </c>
      <c r="X1094" s="1">
        <v>3700000</v>
      </c>
      <c r="Y1094" s="1">
        <v>3700000</v>
      </c>
      <c r="Z1094" s="5">
        <v>43545</v>
      </c>
      <c r="AA1094" s="1">
        <v>3650000</v>
      </c>
      <c r="AB1094" s="1" t="s">
        <v>844</v>
      </c>
      <c r="AC1094" s="5">
        <v>43605</v>
      </c>
      <c r="AF1094" s="1">
        <v>10003</v>
      </c>
      <c r="AI1094" s="1" t="s">
        <v>45</v>
      </c>
      <c r="AJ1094" s="1">
        <v>2019</v>
      </c>
      <c r="AK1094" s="1" t="s">
        <v>55</v>
      </c>
      <c r="AL1094" s="1">
        <v>30</v>
      </c>
    </row>
    <row r="1095" spans="1:38" x14ac:dyDescent="0.2">
      <c r="A1095" s="2" t="str">
        <f>HYPERLINK("https://www.compass.com/listing/32-east-1st-street-unit-5c-manhattan-ny-10003/217190195492142993/","32 E 1st St, Unit 5C")</f>
        <v>32 E 1st St, Unit 5C</v>
      </c>
      <c r="B1095" s="2" t="str">
        <f t="shared" si="191"/>
        <v>32 East 1st Street</v>
      </c>
      <c r="C1095" s="1" t="s">
        <v>88</v>
      </c>
      <c r="D1095" s="1" t="s">
        <v>41</v>
      </c>
      <c r="E1095" s="3">
        <v>3835000</v>
      </c>
      <c r="F1095" s="1">
        <v>2538.0542686962199</v>
      </c>
      <c r="G1095" s="1">
        <v>6</v>
      </c>
      <c r="H1095" s="1">
        <v>3</v>
      </c>
      <c r="I1095" s="1">
        <v>3</v>
      </c>
      <c r="J1095" s="1">
        <v>3</v>
      </c>
      <c r="K1095" s="1">
        <v>3</v>
      </c>
      <c r="M1095" s="4">
        <v>1511</v>
      </c>
      <c r="N1095" s="1">
        <v>1996</v>
      </c>
      <c r="O1095" s="1">
        <v>4178</v>
      </c>
      <c r="P1095" s="1">
        <v>2182</v>
      </c>
      <c r="Q1095" s="1" t="s">
        <v>42</v>
      </c>
      <c r="S1095" s="1" t="s">
        <v>42</v>
      </c>
      <c r="T1095" s="1" t="s">
        <v>203</v>
      </c>
      <c r="U1095" s="1">
        <v>279</v>
      </c>
      <c r="V1095" s="5">
        <v>43687</v>
      </c>
      <c r="W1095" s="5">
        <v>43272</v>
      </c>
      <c r="X1095" s="1">
        <v>3885000</v>
      </c>
      <c r="Y1095" s="1">
        <v>3885000</v>
      </c>
      <c r="Z1095" s="5">
        <v>43551</v>
      </c>
      <c r="AA1095" s="1">
        <v>3835000</v>
      </c>
      <c r="AB1095" s="1" t="s">
        <v>845</v>
      </c>
      <c r="AC1095" s="5">
        <v>43599</v>
      </c>
      <c r="AF1095" s="1">
        <v>10003</v>
      </c>
      <c r="AI1095" s="1" t="s">
        <v>45</v>
      </c>
      <c r="AJ1095" s="1">
        <v>2019</v>
      </c>
      <c r="AK1095" s="1" t="s">
        <v>55</v>
      </c>
      <c r="AL1095" s="1">
        <v>30</v>
      </c>
    </row>
    <row r="1096" spans="1:38" x14ac:dyDescent="0.2">
      <c r="A1096" s="2" t="str">
        <f>HYPERLINK("https://www.compass.com/listing/40-bleecker-street-unit-phe-manhattan-ny-10012/227353016229957009/","40 Bleecker St, Unit PHE")</f>
        <v>40 Bleecker St, Unit PHE</v>
      </c>
      <c r="B1096" s="2" t="str">
        <f>HYPERLINK("https://www.compass.com/building/40-bleecker-manhattan-ny/282058881784380757/","40 Bleecker")</f>
        <v>40 Bleecker</v>
      </c>
      <c r="C1096" s="1" t="s">
        <v>92</v>
      </c>
      <c r="D1096" s="1" t="s">
        <v>41</v>
      </c>
      <c r="E1096" s="3">
        <v>14450000</v>
      </c>
      <c r="F1096" s="1">
        <v>4095.8049886621302</v>
      </c>
      <c r="G1096" s="1">
        <v>6</v>
      </c>
      <c r="H1096" s="1">
        <v>4</v>
      </c>
      <c r="I1096" s="1">
        <v>5</v>
      </c>
      <c r="J1096" s="1">
        <v>5</v>
      </c>
      <c r="K1096" s="1">
        <v>5</v>
      </c>
      <c r="M1096" s="4">
        <v>3528</v>
      </c>
      <c r="N1096" s="1">
        <v>5429</v>
      </c>
      <c r="O1096" s="1">
        <v>11842</v>
      </c>
      <c r="P1096" s="1">
        <v>6413</v>
      </c>
      <c r="Q1096" s="1" t="s">
        <v>42</v>
      </c>
      <c r="S1096" s="1" t="s">
        <v>42</v>
      </c>
      <c r="T1096" s="1" t="s">
        <v>203</v>
      </c>
      <c r="U1096" s="1">
        <v>84</v>
      </c>
      <c r="V1096" s="5">
        <v>44224</v>
      </c>
      <c r="W1096" s="5">
        <v>43565</v>
      </c>
      <c r="X1096" s="1">
        <v>15500000</v>
      </c>
      <c r="Y1096" s="1">
        <v>15500000</v>
      </c>
      <c r="Z1096" s="5">
        <v>43797</v>
      </c>
      <c r="AA1096" s="1">
        <v>14450000</v>
      </c>
      <c r="AB1096" s="1" t="s">
        <v>846</v>
      </c>
      <c r="AC1096" s="5">
        <v>44222</v>
      </c>
      <c r="AF1096" s="1">
        <v>10012</v>
      </c>
      <c r="AI1096" s="1" t="s">
        <v>98</v>
      </c>
      <c r="AJ1096" s="1">
        <v>2019</v>
      </c>
      <c r="AK1096" s="1" t="s">
        <v>129</v>
      </c>
      <c r="AL1096" s="1">
        <v>61</v>
      </c>
    </row>
    <row r="1097" spans="1:38" x14ac:dyDescent="0.2">
      <c r="A1097" s="2" t="str">
        <f>HYPERLINK("https://www.compass.com/listing/101-west-78th-street-unit-6c-manhattan-ny-10024/29510300852110673/","101 W 78th St, Unit 6C")</f>
        <v>101 W 78th St, Unit 6C</v>
      </c>
      <c r="B1097" s="2" t="str">
        <f>HYPERLINK("https://www.compass.com/building/101-w-78th-st-manhattan-ny-10024/281961405798754085/","101 W 78th St")</f>
        <v>101 W 78th St</v>
      </c>
      <c r="C1097" s="1" t="s">
        <v>47</v>
      </c>
      <c r="D1097" s="1" t="s">
        <v>41</v>
      </c>
      <c r="E1097" s="3">
        <v>7975337</v>
      </c>
      <c r="F1097" s="1">
        <v>2251.0124188540699</v>
      </c>
      <c r="G1097" s="1">
        <v>5</v>
      </c>
      <c r="H1097" s="1">
        <v>3</v>
      </c>
      <c r="I1097" s="1">
        <v>4</v>
      </c>
      <c r="J1097" s="1">
        <v>3.5</v>
      </c>
      <c r="K1097" s="1">
        <v>3</v>
      </c>
      <c r="L1097" s="1">
        <v>1</v>
      </c>
      <c r="M1097" s="4">
        <v>3543</v>
      </c>
      <c r="N1097" s="1">
        <v>5130</v>
      </c>
      <c r="O1097" s="1">
        <v>8441</v>
      </c>
      <c r="P1097" s="1">
        <v>3311</v>
      </c>
      <c r="Q1097" s="1" t="s">
        <v>42</v>
      </c>
      <c r="S1097" s="1" t="s">
        <v>42</v>
      </c>
      <c r="T1097" s="1" t="s">
        <v>203</v>
      </c>
      <c r="U1097" s="1">
        <v>408</v>
      </c>
      <c r="V1097" s="5">
        <v>43727</v>
      </c>
      <c r="W1097" s="5">
        <v>43223</v>
      </c>
      <c r="X1097" s="1">
        <v>8995000</v>
      </c>
      <c r="Y1097" s="1">
        <v>8200000</v>
      </c>
      <c r="Z1097" s="5">
        <v>43631</v>
      </c>
      <c r="AA1097" s="1">
        <v>7975337</v>
      </c>
      <c r="AB1097" s="1" t="s">
        <v>847</v>
      </c>
      <c r="AC1097" s="5">
        <v>43643</v>
      </c>
      <c r="AF1097" s="1">
        <v>10024</v>
      </c>
      <c r="AI1097" s="1" t="s">
        <v>784</v>
      </c>
      <c r="AJ1097" s="1">
        <v>1886</v>
      </c>
      <c r="AK1097" s="1" t="s">
        <v>537</v>
      </c>
      <c r="AL1097" s="1">
        <v>21</v>
      </c>
    </row>
    <row r="1098" spans="1:38" x14ac:dyDescent="0.2">
      <c r="A1098" s="2" t="str">
        <f>HYPERLINK("https://www.compass.com/listing/75-kenmare-street-unit-3d-manhattan-ny-10012/122335261219729153/","75 Kenmare St, Unit 3D")</f>
        <v>75 Kenmare St, Unit 3D</v>
      </c>
      <c r="B1098" s="2" t="str">
        <f t="shared" ref="B1098:B1099" si="192">HYPERLINK("https://www.compass.com/building/75-kenmare-street-manhattan-ny/292810164757628581/","75 Kenmare Street")</f>
        <v>75 Kenmare Street</v>
      </c>
      <c r="C1098" s="1" t="s">
        <v>118</v>
      </c>
      <c r="D1098" s="1" t="s">
        <v>41</v>
      </c>
      <c r="E1098" s="3">
        <v>3050000</v>
      </c>
      <c r="F1098" s="1">
        <v>2620.2749140893402</v>
      </c>
      <c r="G1098" s="1">
        <v>4</v>
      </c>
      <c r="H1098" s="1">
        <v>2</v>
      </c>
      <c r="I1098" s="1">
        <v>2</v>
      </c>
      <c r="J1098" s="1">
        <v>2</v>
      </c>
      <c r="K1098" s="1">
        <v>2</v>
      </c>
      <c r="M1098" s="4">
        <v>1164</v>
      </c>
      <c r="N1098" s="1">
        <v>1294</v>
      </c>
      <c r="O1098" s="1">
        <v>2310</v>
      </c>
      <c r="P1098" s="1">
        <v>1016</v>
      </c>
      <c r="Q1098" s="1" t="s">
        <v>42</v>
      </c>
      <c r="S1098" s="1" t="s">
        <v>42</v>
      </c>
      <c r="T1098" s="1" t="s">
        <v>203</v>
      </c>
      <c r="U1098" s="1">
        <v>127</v>
      </c>
      <c r="V1098" s="5">
        <v>44338</v>
      </c>
      <c r="W1098" s="5">
        <v>43229</v>
      </c>
      <c r="X1098" s="1">
        <v>3050000</v>
      </c>
      <c r="Y1098" s="1">
        <v>3050000</v>
      </c>
      <c r="Z1098" s="5">
        <v>43356</v>
      </c>
      <c r="AA1098" s="1">
        <v>3050000</v>
      </c>
      <c r="AB1098" s="1" t="s">
        <v>848</v>
      </c>
      <c r="AC1098" s="5">
        <v>43868</v>
      </c>
      <c r="AF1098" s="1">
        <v>10012</v>
      </c>
      <c r="AI1098" s="1" t="s">
        <v>76</v>
      </c>
      <c r="AJ1098" s="1">
        <v>2017</v>
      </c>
      <c r="AK1098" s="1" t="s">
        <v>121</v>
      </c>
      <c r="AL1098" s="1">
        <v>38</v>
      </c>
    </row>
    <row r="1099" spans="1:38" x14ac:dyDescent="0.2">
      <c r="A1099" s="2" t="str">
        <f>HYPERLINK("https://www.compass.com/listing/75-kenmare-street-unit-4c-manhattan-ny-10012/768883651693878641/","75 Kenmare St, Unit 4C")</f>
        <v>75 Kenmare St, Unit 4C</v>
      </c>
      <c r="B1099" s="2" t="str">
        <f t="shared" si="192"/>
        <v>75 Kenmare Street</v>
      </c>
      <c r="C1099" s="1" t="s">
        <v>118</v>
      </c>
      <c r="D1099" s="1" t="s">
        <v>41</v>
      </c>
      <c r="E1099" s="3">
        <v>1620000</v>
      </c>
      <c r="F1099" s="1">
        <v>2436.0902255639098</v>
      </c>
      <c r="G1099" s="1">
        <v>3</v>
      </c>
      <c r="H1099" s="1">
        <v>1</v>
      </c>
      <c r="I1099" s="1">
        <v>1</v>
      </c>
      <c r="J1099" s="1">
        <v>1</v>
      </c>
      <c r="K1099" s="1">
        <v>1</v>
      </c>
      <c r="M1099" s="1">
        <v>665</v>
      </c>
      <c r="N1099" s="1">
        <v>726</v>
      </c>
      <c r="O1099" s="1">
        <v>1404</v>
      </c>
      <c r="P1099" s="1">
        <v>678</v>
      </c>
      <c r="Q1099" s="1" t="s">
        <v>42</v>
      </c>
      <c r="S1099" s="1" t="s">
        <v>42</v>
      </c>
      <c r="T1099" s="1" t="s">
        <v>203</v>
      </c>
      <c r="U1099" s="1">
        <v>28</v>
      </c>
      <c r="V1099" s="5">
        <v>44380</v>
      </c>
      <c r="W1099" s="5">
        <v>44315</v>
      </c>
      <c r="X1099" s="1">
        <v>1</v>
      </c>
      <c r="Y1099" s="1">
        <v>1</v>
      </c>
      <c r="AA1099" s="1">
        <v>1620000</v>
      </c>
      <c r="AB1099" s="1" t="s">
        <v>849</v>
      </c>
      <c r="AC1099" s="5">
        <v>44343</v>
      </c>
      <c r="AF1099" s="1">
        <v>10012</v>
      </c>
      <c r="AI1099" s="1" t="s">
        <v>76</v>
      </c>
      <c r="AJ1099" s="1">
        <v>2017</v>
      </c>
      <c r="AK1099" s="1" t="s">
        <v>121</v>
      </c>
      <c r="AL1099" s="1">
        <v>38</v>
      </c>
    </row>
    <row r="1100" spans="1:38" x14ac:dyDescent="0.2">
      <c r="A1100" s="2" t="str">
        <f>HYPERLINK("https://www.compass.com/listing/40-bleecker-street-unit-6f-manhattan-ny-10012/725619314515433553/","40 Bleecker St, Unit 6F")</f>
        <v>40 Bleecker St, Unit 6F</v>
      </c>
      <c r="B1100" s="2" t="str">
        <f>HYPERLINK("https://www.compass.com/building/40-bleecker-manhattan-ny/282058881784380757/","40 Bleecker")</f>
        <v>40 Bleecker</v>
      </c>
      <c r="C1100" s="1" t="s">
        <v>92</v>
      </c>
      <c r="D1100" s="1" t="s">
        <v>41</v>
      </c>
      <c r="E1100" s="3">
        <v>3485000</v>
      </c>
      <c r="F1100" s="1">
        <v>2632.1752265861001</v>
      </c>
      <c r="G1100" s="1">
        <v>4</v>
      </c>
      <c r="H1100" s="1">
        <v>2</v>
      </c>
      <c r="I1100" s="1">
        <v>3</v>
      </c>
      <c r="J1100" s="1">
        <v>2.5</v>
      </c>
      <c r="K1100" s="1">
        <v>2</v>
      </c>
      <c r="L1100" s="1">
        <v>1</v>
      </c>
      <c r="M1100" s="4">
        <v>1324</v>
      </c>
      <c r="N1100" s="1">
        <v>1924</v>
      </c>
      <c r="O1100" s="1">
        <v>4197</v>
      </c>
      <c r="P1100" s="1">
        <v>2273</v>
      </c>
      <c r="Q1100" s="1" t="s">
        <v>42</v>
      </c>
      <c r="S1100" s="1" t="s">
        <v>42</v>
      </c>
      <c r="T1100" s="1" t="s">
        <v>203</v>
      </c>
      <c r="V1100" s="5">
        <v>44316</v>
      </c>
      <c r="W1100" s="5">
        <v>44252</v>
      </c>
      <c r="X1100" s="1">
        <v>3500000</v>
      </c>
      <c r="Y1100" s="1">
        <v>3500000</v>
      </c>
      <c r="Z1100" s="5">
        <v>44253</v>
      </c>
      <c r="AA1100" s="1">
        <v>3485000</v>
      </c>
      <c r="AB1100" s="1" t="s">
        <v>838</v>
      </c>
      <c r="AC1100" s="5">
        <v>44260</v>
      </c>
      <c r="AF1100" s="1">
        <v>10012</v>
      </c>
      <c r="AI1100" s="1" t="s">
        <v>58</v>
      </c>
      <c r="AJ1100" s="1">
        <v>2019</v>
      </c>
      <c r="AK1100" s="1" t="s">
        <v>94</v>
      </c>
      <c r="AL1100" s="1">
        <v>61</v>
      </c>
    </row>
    <row r="1101" spans="1:38" x14ac:dyDescent="0.2">
      <c r="A1101" s="2" t="str">
        <f>HYPERLINK("https://www.compass.com/listing/32-east-1st-street-unit-4d-manhattan-ny-10003/713120677329619545/","32 E 1st St, Unit 4D")</f>
        <v>32 E 1st St, Unit 4D</v>
      </c>
      <c r="B1101" s="2" t="str">
        <f t="shared" ref="B1101:B1102" si="193">HYPERLINK("https://www.compass.com/building/32-east-1st-street-manhattan-ny/292783157810310133/","32 East 1st Street")</f>
        <v>32 East 1st Street</v>
      </c>
      <c r="C1101" s="1" t="s">
        <v>88</v>
      </c>
      <c r="D1101" s="1" t="s">
        <v>41</v>
      </c>
      <c r="E1101" s="3">
        <v>2300000</v>
      </c>
      <c r="F1101" s="1">
        <v>2090.9090909090901</v>
      </c>
      <c r="G1101" s="1">
        <v>4</v>
      </c>
      <c r="H1101" s="1">
        <v>2</v>
      </c>
      <c r="I1101" s="1">
        <v>2</v>
      </c>
      <c r="J1101" s="1">
        <v>2</v>
      </c>
      <c r="K1101" s="1">
        <v>2</v>
      </c>
      <c r="M1101" s="4">
        <v>1100</v>
      </c>
      <c r="N1101" s="1">
        <v>1359</v>
      </c>
      <c r="O1101" s="1">
        <v>3414</v>
      </c>
      <c r="P1101" s="1">
        <v>2055</v>
      </c>
      <c r="Q1101" s="1" t="s">
        <v>42</v>
      </c>
      <c r="S1101" s="1" t="s">
        <v>42</v>
      </c>
      <c r="T1101" s="1" t="s">
        <v>203</v>
      </c>
      <c r="V1101" s="5">
        <v>44357</v>
      </c>
      <c r="W1101" s="5">
        <v>44235</v>
      </c>
      <c r="X1101" s="1">
        <v>2700000</v>
      </c>
      <c r="Y1101" s="1">
        <v>2700000</v>
      </c>
      <c r="Z1101" s="5">
        <v>44235</v>
      </c>
      <c r="AA1101" s="1">
        <v>2300000</v>
      </c>
      <c r="AB1101" s="1" t="s">
        <v>850</v>
      </c>
      <c r="AC1101" s="5">
        <v>44320</v>
      </c>
      <c r="AF1101" s="1">
        <v>10003</v>
      </c>
      <c r="AI1101" s="1" t="s">
        <v>45</v>
      </c>
      <c r="AJ1101" s="1">
        <v>2019</v>
      </c>
      <c r="AK1101" s="1" t="s">
        <v>87</v>
      </c>
      <c r="AL1101" s="1">
        <v>30</v>
      </c>
    </row>
    <row r="1102" spans="1:38" x14ac:dyDescent="0.2">
      <c r="A1102" s="2" t="str">
        <f>HYPERLINK("https://www.compass.com/listing/32-east-1st-street-unit-3d-manhattan-ny-10003/618828725372735681/","32 E 1st St, Unit 3D")</f>
        <v>32 E 1st St, Unit 3D</v>
      </c>
      <c r="B1102" s="2" t="str">
        <f t="shared" si="193"/>
        <v>32 East 1st Street</v>
      </c>
      <c r="C1102" s="1" t="s">
        <v>88</v>
      </c>
      <c r="D1102" s="1" t="s">
        <v>41</v>
      </c>
      <c r="E1102" s="3">
        <v>2250000</v>
      </c>
      <c r="F1102" s="1">
        <v>2066.1157024793301</v>
      </c>
      <c r="G1102" s="1">
        <v>4</v>
      </c>
      <c r="H1102" s="1">
        <v>2</v>
      </c>
      <c r="I1102" s="1">
        <v>2</v>
      </c>
      <c r="J1102" s="1">
        <v>2</v>
      </c>
      <c r="K1102" s="1">
        <v>2</v>
      </c>
      <c r="M1102" s="4">
        <v>1089</v>
      </c>
      <c r="N1102" s="1">
        <v>1320</v>
      </c>
      <c r="O1102" s="1">
        <v>3325</v>
      </c>
      <c r="P1102" s="1">
        <v>2005</v>
      </c>
      <c r="Q1102" s="1" t="s">
        <v>42</v>
      </c>
      <c r="S1102" s="1" t="s">
        <v>42</v>
      </c>
      <c r="T1102" s="1" t="s">
        <v>203</v>
      </c>
      <c r="U1102" s="1">
        <v>69</v>
      </c>
      <c r="V1102" s="5">
        <v>44314</v>
      </c>
      <c r="W1102" s="5">
        <v>44105</v>
      </c>
      <c r="X1102" s="1">
        <v>2500000</v>
      </c>
      <c r="Y1102" s="1">
        <v>2500000</v>
      </c>
      <c r="Z1102" s="5">
        <v>44175</v>
      </c>
      <c r="AA1102" s="1">
        <v>2250000</v>
      </c>
      <c r="AB1102" s="1" t="s">
        <v>851</v>
      </c>
      <c r="AC1102" s="5">
        <v>44235</v>
      </c>
      <c r="AF1102" s="1">
        <v>10003</v>
      </c>
      <c r="AI1102" s="1" t="s">
        <v>45</v>
      </c>
      <c r="AJ1102" s="1">
        <v>2019</v>
      </c>
      <c r="AK1102" s="1" t="s">
        <v>87</v>
      </c>
      <c r="AL1102" s="1">
        <v>30</v>
      </c>
    </row>
    <row r="1103" spans="1:38" x14ac:dyDescent="0.2">
      <c r="A1103" s="2" t="str">
        <f>HYPERLINK("https://www.compass.com/listing/40-bleecker-street-unit-8f-manhattan-ny-10012/699446627523210177/","40 Bleecker St, Unit 8F")</f>
        <v>40 Bleecker St, Unit 8F</v>
      </c>
      <c r="B1103" s="2" t="str">
        <f t="shared" ref="B1103:B1104" si="194">HYPERLINK("https://www.compass.com/building/40-bleecker-manhattan-ny/282058881784380757/","40 Bleecker")</f>
        <v>40 Bleecker</v>
      </c>
      <c r="C1103" s="1" t="s">
        <v>92</v>
      </c>
      <c r="D1103" s="1" t="s">
        <v>41</v>
      </c>
      <c r="E1103" s="3">
        <v>3695000</v>
      </c>
      <c r="F1103" s="1">
        <v>2790.7854984894202</v>
      </c>
      <c r="G1103" s="1">
        <v>5</v>
      </c>
      <c r="H1103" s="1">
        <v>2</v>
      </c>
      <c r="I1103" s="1">
        <v>3</v>
      </c>
      <c r="J1103" s="1">
        <v>2.5</v>
      </c>
      <c r="K1103" s="1">
        <v>2</v>
      </c>
      <c r="L1103" s="1">
        <v>1</v>
      </c>
      <c r="M1103" s="4">
        <v>1324</v>
      </c>
      <c r="N1103" s="1">
        <v>1924</v>
      </c>
      <c r="O1103" s="1">
        <v>4197</v>
      </c>
      <c r="P1103" s="1">
        <v>2273</v>
      </c>
      <c r="Q1103" s="1" t="s">
        <v>42</v>
      </c>
      <c r="S1103" s="1" t="s">
        <v>42</v>
      </c>
      <c r="T1103" s="1" t="s">
        <v>203</v>
      </c>
      <c r="V1103" s="5">
        <v>44314</v>
      </c>
      <c r="W1103" s="5">
        <v>44216</v>
      </c>
      <c r="X1103" s="1">
        <v>3695000</v>
      </c>
      <c r="Y1103" s="1">
        <v>3695000</v>
      </c>
      <c r="Z1103" s="5">
        <v>44216</v>
      </c>
      <c r="AA1103" s="1">
        <v>3695000</v>
      </c>
      <c r="AB1103" s="1" t="s">
        <v>852</v>
      </c>
      <c r="AC1103" s="5">
        <v>44293</v>
      </c>
      <c r="AF1103" s="1">
        <v>10012</v>
      </c>
      <c r="AI1103" s="1" t="s">
        <v>58</v>
      </c>
      <c r="AJ1103" s="1">
        <v>2019</v>
      </c>
      <c r="AK1103" s="1" t="s">
        <v>50</v>
      </c>
      <c r="AL1103" s="1">
        <v>61</v>
      </c>
    </row>
    <row r="1104" spans="1:38" x14ac:dyDescent="0.2">
      <c r="A1104" s="2" t="str">
        <f>HYPERLINK("https://www.compass.com/listing/40-bleecker-street-unit-3d-manhattan-ny-10012/29515240978839393/","40 Bleecker St, Unit 3D")</f>
        <v>40 Bleecker St, Unit 3D</v>
      </c>
      <c r="B1104" s="2" t="str">
        <f t="shared" si="194"/>
        <v>40 Bleecker</v>
      </c>
      <c r="C1104" s="1" t="s">
        <v>92</v>
      </c>
      <c r="D1104" s="1" t="s">
        <v>41</v>
      </c>
      <c r="E1104" s="3">
        <v>3421320</v>
      </c>
      <c r="F1104" s="1">
        <v>2804.3606557377002</v>
      </c>
      <c r="G1104" s="1">
        <v>5.5</v>
      </c>
      <c r="H1104" s="1">
        <v>2</v>
      </c>
      <c r="I1104" s="1">
        <v>3</v>
      </c>
      <c r="J1104" s="1">
        <v>2.5</v>
      </c>
      <c r="K1104" s="1">
        <v>2</v>
      </c>
      <c r="L1104" s="1">
        <v>1</v>
      </c>
      <c r="M1104" s="4">
        <v>1220</v>
      </c>
      <c r="N1104" s="1">
        <v>1773</v>
      </c>
      <c r="O1104" s="1">
        <v>3867</v>
      </c>
      <c r="P1104" s="1">
        <v>2094</v>
      </c>
      <c r="Q1104" s="1" t="s">
        <v>42</v>
      </c>
      <c r="S1104" s="1" t="s">
        <v>42</v>
      </c>
      <c r="T1104" s="1" t="s">
        <v>203</v>
      </c>
      <c r="U1104" s="1">
        <v>64</v>
      </c>
      <c r="V1104" s="5">
        <v>44225</v>
      </c>
      <c r="W1104" s="5">
        <v>43139</v>
      </c>
      <c r="X1104" s="1">
        <v>3325000</v>
      </c>
      <c r="Y1104" s="1">
        <v>3325000</v>
      </c>
      <c r="Z1104" s="5">
        <v>43204</v>
      </c>
      <c r="AA1104" s="1">
        <v>3421320</v>
      </c>
      <c r="AB1104" s="1" t="s">
        <v>853</v>
      </c>
      <c r="AC1104" s="5">
        <v>44167</v>
      </c>
      <c r="AF1104" s="1">
        <v>10012</v>
      </c>
      <c r="AI1104" s="1" t="s">
        <v>58</v>
      </c>
      <c r="AJ1104" s="1">
        <v>2019</v>
      </c>
      <c r="AK1104" s="1" t="s">
        <v>50</v>
      </c>
      <c r="AL1104" s="1">
        <v>61</v>
      </c>
    </row>
    <row r="1105" spans="1:38" x14ac:dyDescent="0.2">
      <c r="A1105" s="2" t="str">
        <f>HYPERLINK("https://www.compass.com/listing/75-kenmare-street-unit-4e-manhattan-ny-10012/167512441851248721/","75 Kenmare St, Unit 4E")</f>
        <v>75 Kenmare St, Unit 4E</v>
      </c>
      <c r="B1105" s="2" t="str">
        <f t="shared" ref="B1105:B1106" si="195">HYPERLINK("https://www.compass.com/building/75-kenmare-street-manhattan-ny/292810164757628581/","75 Kenmare Street")</f>
        <v>75 Kenmare Street</v>
      </c>
      <c r="C1105" s="1" t="s">
        <v>118</v>
      </c>
      <c r="D1105" s="1" t="s">
        <v>41</v>
      </c>
      <c r="E1105" s="3">
        <v>2400000</v>
      </c>
      <c r="F1105" s="1">
        <v>2350.6366307541598</v>
      </c>
      <c r="G1105" s="1">
        <v>4</v>
      </c>
      <c r="H1105" s="1">
        <v>2</v>
      </c>
      <c r="I1105" s="1">
        <v>2</v>
      </c>
      <c r="J1105" s="1">
        <v>2</v>
      </c>
      <c r="K1105" s="1">
        <v>2</v>
      </c>
      <c r="M1105" s="4">
        <v>1021</v>
      </c>
      <c r="N1105" s="1">
        <v>1133</v>
      </c>
      <c r="O1105" s="1">
        <v>2023</v>
      </c>
      <c r="P1105" s="1">
        <v>890</v>
      </c>
      <c r="Q1105" s="1" t="s">
        <v>42</v>
      </c>
      <c r="S1105" s="1" t="s">
        <v>42</v>
      </c>
      <c r="T1105" s="1" t="s">
        <v>203</v>
      </c>
      <c r="U1105" s="1">
        <v>416</v>
      </c>
      <c r="V1105" s="5">
        <v>44338</v>
      </c>
      <c r="W1105" s="5">
        <v>43105</v>
      </c>
      <c r="X1105" s="1">
        <v>2575000</v>
      </c>
      <c r="Y1105" s="1">
        <v>2575000</v>
      </c>
      <c r="Z1105" s="5">
        <v>43522</v>
      </c>
      <c r="AA1105" s="1">
        <v>2400000</v>
      </c>
      <c r="AB1105" s="1" t="s">
        <v>854</v>
      </c>
      <c r="AC1105" s="5">
        <v>44148</v>
      </c>
      <c r="AF1105" s="1">
        <v>10012</v>
      </c>
      <c r="AI1105" s="1" t="s">
        <v>76</v>
      </c>
      <c r="AJ1105" s="1">
        <v>2017</v>
      </c>
      <c r="AK1105" s="1" t="s">
        <v>121</v>
      </c>
      <c r="AL1105" s="1">
        <v>38</v>
      </c>
    </row>
    <row r="1106" spans="1:38" x14ac:dyDescent="0.2">
      <c r="A1106" s="2" t="str">
        <f>HYPERLINK("https://www.compass.com/listing/75-kenmare-street-unit-3a-manhattan-ny-10012/797732678311647017/","75 Kenmare St, Unit 3A")</f>
        <v>75 Kenmare St, Unit 3A</v>
      </c>
      <c r="B1106" s="2" t="str">
        <f t="shared" si="195"/>
        <v>75 Kenmare Street</v>
      </c>
      <c r="C1106" s="1" t="s">
        <v>118</v>
      </c>
      <c r="D1106" s="1" t="s">
        <v>41</v>
      </c>
      <c r="E1106" s="3">
        <v>1750000</v>
      </c>
      <c r="F1106" s="1">
        <v>2182.0448877805402</v>
      </c>
      <c r="G1106" s="1">
        <v>4</v>
      </c>
      <c r="H1106" s="1">
        <v>1</v>
      </c>
      <c r="I1106" s="1">
        <v>1</v>
      </c>
      <c r="J1106" s="1">
        <v>1</v>
      </c>
      <c r="K1106" s="1">
        <v>1</v>
      </c>
      <c r="M1106" s="1">
        <v>802</v>
      </c>
      <c r="N1106" s="1">
        <v>874</v>
      </c>
      <c r="O1106" s="1">
        <v>1691</v>
      </c>
      <c r="P1106" s="1">
        <v>817</v>
      </c>
      <c r="Q1106" s="1" t="s">
        <v>42</v>
      </c>
      <c r="S1106" s="1" t="s">
        <v>42</v>
      </c>
      <c r="T1106" s="1" t="s">
        <v>203</v>
      </c>
      <c r="V1106" s="5">
        <v>44355</v>
      </c>
      <c r="W1106" s="5">
        <v>44310</v>
      </c>
      <c r="X1106" s="1">
        <v>1950000</v>
      </c>
      <c r="Y1106" s="1">
        <v>1950000</v>
      </c>
      <c r="Z1106" s="5">
        <v>44310</v>
      </c>
      <c r="AA1106" s="1">
        <v>1750000</v>
      </c>
      <c r="AB1106" s="1" t="s">
        <v>855</v>
      </c>
      <c r="AC1106" s="5">
        <v>44343</v>
      </c>
      <c r="AF1106" s="1">
        <v>10012</v>
      </c>
      <c r="AI1106" s="1" t="s">
        <v>76</v>
      </c>
      <c r="AJ1106" s="1">
        <v>2017</v>
      </c>
      <c r="AK1106" s="1" t="s">
        <v>121</v>
      </c>
      <c r="AL1106" s="1">
        <v>38</v>
      </c>
    </row>
    <row r="1107" spans="1:38" x14ac:dyDescent="0.2">
      <c r="A1107" s="2" t="str">
        <f>HYPERLINK("https://www.compass.com/listing/275-west-10th-street-unit-me-manhattan-ny-10014/29368588531986609/","275 W 10th St, Unit ME")</f>
        <v>275 W 10th St, Unit ME</v>
      </c>
      <c r="B1107" s="2" t="str">
        <f>HYPERLINK("https://www.compass.com/building/the-shephard-manhattan-ny/281931968864632917/","The Shephard")</f>
        <v>The Shephard</v>
      </c>
      <c r="C1107" s="1" t="s">
        <v>68</v>
      </c>
      <c r="D1107" s="1" t="s">
        <v>41</v>
      </c>
      <c r="E1107" s="3">
        <v>1817576</v>
      </c>
      <c r="F1107" s="1">
        <v>1410.0669123351399</v>
      </c>
      <c r="H1107" s="1">
        <v>1</v>
      </c>
      <c r="J1107" s="1">
        <v>1.5</v>
      </c>
      <c r="K1107" s="1">
        <v>1</v>
      </c>
      <c r="L1107" s="1">
        <v>1</v>
      </c>
      <c r="M1107" s="4">
        <v>1289</v>
      </c>
      <c r="N1107" s="1">
        <v>1184.52</v>
      </c>
      <c r="O1107" s="1">
        <v>3130.52</v>
      </c>
      <c r="P1107" s="1">
        <v>1946</v>
      </c>
      <c r="Q1107" s="1" t="s">
        <v>42</v>
      </c>
      <c r="S1107" s="1" t="s">
        <v>42</v>
      </c>
      <c r="T1107" s="1" t="s">
        <v>203</v>
      </c>
      <c r="AA1107" s="1">
        <v>1817576.25</v>
      </c>
      <c r="AB1107" s="1" t="s">
        <v>856</v>
      </c>
      <c r="AC1107" s="5">
        <v>43056</v>
      </c>
      <c r="AF1107" s="1">
        <v>10014</v>
      </c>
      <c r="AI1107" s="1" t="s">
        <v>67</v>
      </c>
      <c r="AJ1107" s="1">
        <v>2015</v>
      </c>
      <c r="AK1107" s="1" t="s">
        <v>55</v>
      </c>
      <c r="AL1107" s="1">
        <v>38</v>
      </c>
    </row>
    <row r="1108" spans="1:38" x14ac:dyDescent="0.2">
      <c r="A1108" s="2" t="str">
        <f>HYPERLINK("https://www.compass.com/listing/225-west-86th-street-unit-210-manhattan-ny-10024/91260152862240385/","225 W 86th St, Unit 210")</f>
        <v>225 W 86th St, Unit 210</v>
      </c>
      <c r="B1108" s="2" t="str">
        <f t="shared" ref="B1108:B1110" si="196">HYPERLINK("https://www.compass.com/building/the-belnord-manhattan-ny/292869672083214101/","The Belnord")</f>
        <v>The Belnord</v>
      </c>
      <c r="C1108" s="1" t="s">
        <v>47</v>
      </c>
      <c r="D1108" s="1" t="s">
        <v>41</v>
      </c>
      <c r="E1108" s="3">
        <v>4044002</v>
      </c>
      <c r="F1108" s="1">
        <v>1654.6653027823199</v>
      </c>
      <c r="G1108" s="1">
        <v>5</v>
      </c>
      <c r="H1108" s="1">
        <v>3</v>
      </c>
      <c r="I1108" s="1">
        <v>4</v>
      </c>
      <c r="J1108" s="1">
        <v>3.5</v>
      </c>
      <c r="K1108" s="1">
        <v>3</v>
      </c>
      <c r="L1108" s="1">
        <v>1</v>
      </c>
      <c r="M1108" s="4">
        <v>2444</v>
      </c>
      <c r="N1108" s="1">
        <v>2060</v>
      </c>
      <c r="O1108" s="1">
        <v>5273</v>
      </c>
      <c r="P1108" s="1">
        <v>3213</v>
      </c>
      <c r="Q1108" s="1" t="s">
        <v>42</v>
      </c>
      <c r="S1108" s="1" t="s">
        <v>42</v>
      </c>
      <c r="T1108" s="1" t="s">
        <v>203</v>
      </c>
      <c r="V1108" s="5">
        <v>43635</v>
      </c>
      <c r="W1108" s="5">
        <v>43376</v>
      </c>
      <c r="X1108" s="1">
        <v>5725000</v>
      </c>
      <c r="Y1108" s="1">
        <v>5725000</v>
      </c>
      <c r="Z1108" s="5">
        <v>43376</v>
      </c>
      <c r="AA1108" s="1">
        <v>4044002</v>
      </c>
      <c r="AB1108" s="1" t="s">
        <v>204</v>
      </c>
      <c r="AC1108" s="5">
        <v>43565</v>
      </c>
      <c r="AF1108" s="1">
        <v>10024</v>
      </c>
      <c r="AI1108" s="1" t="s">
        <v>67</v>
      </c>
      <c r="AJ1108" s="1">
        <v>1908</v>
      </c>
      <c r="AK1108" s="1" t="s">
        <v>81</v>
      </c>
      <c r="AL1108" s="1">
        <v>213</v>
      </c>
    </row>
    <row r="1109" spans="1:38" x14ac:dyDescent="0.2">
      <c r="A1109" s="2" t="str">
        <f>HYPERLINK("https://www.compass.com/listing/225-west-86th-street-unit-302-manhattan-ny-10024/97028001648148033/","225 W 86th St, Unit 302")</f>
        <v>225 W 86th St, Unit 302</v>
      </c>
      <c r="B1109" s="2" t="str">
        <f t="shared" si="196"/>
        <v>The Belnord</v>
      </c>
      <c r="C1109" s="1" t="s">
        <v>47</v>
      </c>
      <c r="D1109" s="1" t="s">
        <v>41</v>
      </c>
      <c r="E1109" s="3">
        <v>3637561</v>
      </c>
      <c r="F1109" s="1">
        <v>1469.1280290791599</v>
      </c>
      <c r="G1109" s="1">
        <v>6</v>
      </c>
      <c r="H1109" s="1">
        <v>3</v>
      </c>
      <c r="I1109" s="1">
        <v>4</v>
      </c>
      <c r="J1109" s="1">
        <v>3.5</v>
      </c>
      <c r="K1109" s="1">
        <v>3</v>
      </c>
      <c r="L1109" s="1">
        <v>1</v>
      </c>
      <c r="M1109" s="4">
        <v>2476</v>
      </c>
      <c r="N1109" s="1">
        <v>2097</v>
      </c>
      <c r="O1109" s="1">
        <v>5368</v>
      </c>
      <c r="P1109" s="1">
        <v>3271</v>
      </c>
      <c r="Q1109" s="1" t="s">
        <v>42</v>
      </c>
      <c r="S1109" s="1" t="s">
        <v>42</v>
      </c>
      <c r="T1109" s="1" t="s">
        <v>203</v>
      </c>
      <c r="V1109" s="5">
        <v>43694</v>
      </c>
      <c r="W1109" s="5">
        <v>43386</v>
      </c>
      <c r="X1109" s="1">
        <v>5950000</v>
      </c>
      <c r="Y1109" s="1">
        <v>5950000</v>
      </c>
      <c r="Z1109" s="5">
        <v>43386</v>
      </c>
      <c r="AA1109" s="1">
        <v>3637561</v>
      </c>
      <c r="AB1109" s="1" t="s">
        <v>204</v>
      </c>
      <c r="AC1109" s="5">
        <v>43627</v>
      </c>
      <c r="AF1109" s="1">
        <v>10024</v>
      </c>
      <c r="AI1109" s="1" t="s">
        <v>67</v>
      </c>
      <c r="AJ1109" s="1">
        <v>1908</v>
      </c>
      <c r="AK1109" s="1" t="s">
        <v>81</v>
      </c>
      <c r="AL1109" s="1">
        <v>213</v>
      </c>
    </row>
    <row r="1110" spans="1:38" x14ac:dyDescent="0.2">
      <c r="A1110" s="2" t="str">
        <f>HYPERLINK("https://www.compass.com/listing/225-west-86th-street-unit-107-manhattan-ny-10024/101407042190786369/","225 W 86th St, Unit 107")</f>
        <v>225 W 86th St, Unit 107</v>
      </c>
      <c r="B1110" s="2" t="str">
        <f t="shared" si="196"/>
        <v>The Belnord</v>
      </c>
      <c r="C1110" s="1" t="s">
        <v>47</v>
      </c>
      <c r="D1110" s="1" t="s">
        <v>41</v>
      </c>
      <c r="E1110" s="3">
        <v>3420704</v>
      </c>
      <c r="F1110" s="1">
        <v>1519.6374944469101</v>
      </c>
      <c r="G1110" s="1">
        <v>6</v>
      </c>
      <c r="H1110" s="1">
        <v>4</v>
      </c>
      <c r="I1110" s="1">
        <v>4</v>
      </c>
      <c r="J1110" s="1">
        <v>4</v>
      </c>
      <c r="K1110" s="1">
        <v>4</v>
      </c>
      <c r="M1110" s="4">
        <v>2251</v>
      </c>
      <c r="N1110" s="1">
        <v>1888</v>
      </c>
      <c r="O1110" s="1">
        <v>4833</v>
      </c>
      <c r="P1110" s="1">
        <v>2945</v>
      </c>
      <c r="Q1110" s="1" t="s">
        <v>42</v>
      </c>
      <c r="S1110" s="1" t="s">
        <v>42</v>
      </c>
      <c r="T1110" s="1" t="s">
        <v>203</v>
      </c>
      <c r="V1110" s="5">
        <v>43647</v>
      </c>
      <c r="W1110" s="5">
        <v>43392</v>
      </c>
      <c r="X1110" s="1">
        <v>5600000</v>
      </c>
      <c r="Y1110" s="1">
        <v>5600000</v>
      </c>
      <c r="Z1110" s="5">
        <v>43392</v>
      </c>
      <c r="AA1110" s="1">
        <v>3420704</v>
      </c>
      <c r="AB1110" s="1" t="s">
        <v>204</v>
      </c>
      <c r="AC1110" s="5">
        <v>43567</v>
      </c>
      <c r="AF1110" s="1">
        <v>10024</v>
      </c>
      <c r="AI1110" s="1" t="s">
        <v>67</v>
      </c>
      <c r="AJ1110" s="1">
        <v>1908</v>
      </c>
      <c r="AK1110" s="1" t="s">
        <v>81</v>
      </c>
      <c r="AL1110" s="1">
        <v>213</v>
      </c>
    </row>
    <row r="1111" spans="1:38" x14ac:dyDescent="0.2">
      <c r="A1111" s="2" t="str">
        <f>HYPERLINK("https://www.compass.com/listing/75-kenmare-street-unit-3a-manhattan-ny-10012/167512440953726193/","75 Kenmare St, Unit 3A")</f>
        <v>75 Kenmare St, Unit 3A</v>
      </c>
      <c r="B1111" s="2" t="str">
        <f>HYPERLINK("https://www.compass.com/building/75-kenmare-street-manhattan-ny/292810164757628581/","75 Kenmare Street")</f>
        <v>75 Kenmare Street</v>
      </c>
      <c r="C1111" s="1" t="s">
        <v>118</v>
      </c>
      <c r="D1111" s="1" t="s">
        <v>41</v>
      </c>
      <c r="E1111" s="3">
        <v>1750000</v>
      </c>
      <c r="F1111" s="1">
        <v>2182.0448877805402</v>
      </c>
      <c r="G1111" s="1">
        <v>3</v>
      </c>
      <c r="H1111" s="1">
        <v>1</v>
      </c>
      <c r="I1111" s="1">
        <v>1</v>
      </c>
      <c r="J1111" s="1">
        <v>1</v>
      </c>
      <c r="K1111" s="1">
        <v>1</v>
      </c>
      <c r="M1111" s="1">
        <v>802</v>
      </c>
      <c r="N1111" s="1">
        <v>874</v>
      </c>
      <c r="O1111" s="1">
        <v>1691</v>
      </c>
      <c r="P1111" s="1">
        <v>817</v>
      </c>
      <c r="Q1111" s="1" t="s">
        <v>42</v>
      </c>
      <c r="S1111" s="1" t="s">
        <v>42</v>
      </c>
      <c r="T1111" s="1" t="s">
        <v>203</v>
      </c>
      <c r="U1111" s="1">
        <v>5</v>
      </c>
      <c r="V1111" s="5">
        <v>44353</v>
      </c>
      <c r="W1111" s="5">
        <v>44308</v>
      </c>
      <c r="X1111" s="1">
        <v>1950000</v>
      </c>
      <c r="Y1111" s="1">
        <v>1950000</v>
      </c>
      <c r="Z1111" s="5">
        <v>44314</v>
      </c>
      <c r="AA1111" s="1">
        <v>1750000</v>
      </c>
      <c r="AB1111" s="1" t="s">
        <v>855</v>
      </c>
      <c r="AC1111" s="5">
        <v>44343</v>
      </c>
      <c r="AF1111" s="1">
        <v>10012</v>
      </c>
      <c r="AI1111" s="1" t="s">
        <v>76</v>
      </c>
      <c r="AJ1111" s="1">
        <v>2017</v>
      </c>
      <c r="AK1111" s="1" t="s">
        <v>121</v>
      </c>
      <c r="AL1111" s="1">
        <v>38</v>
      </c>
    </row>
    <row r="1112" spans="1:38" x14ac:dyDescent="0.2">
      <c r="A1112" s="2" t="str">
        <f>HYPERLINK("https://www.compass.com/listing/175-west-95th-street-unit-3e-manhattan-ny-10025/293396660048926465/","175 W 95th St, Unit 3E")</f>
        <v>175 W 95th St, Unit 3E</v>
      </c>
      <c r="B1112" s="2" t="str">
        <f>HYPERLINK("https://www.compass.com/building/175-w-95th-manhattan-ny/292876785429866517/","175 W 95th")</f>
        <v>175 W 95th</v>
      </c>
      <c r="C1112" s="1" t="s">
        <v>47</v>
      </c>
      <c r="D1112" s="1" t="s">
        <v>41</v>
      </c>
      <c r="E1112" s="3">
        <v>1451006</v>
      </c>
      <c r="F1112" s="1">
        <v>1508.32224532224</v>
      </c>
      <c r="G1112" s="1">
        <v>4</v>
      </c>
      <c r="H1112" s="1">
        <v>2</v>
      </c>
      <c r="I1112" s="1">
        <v>1.5</v>
      </c>
      <c r="J1112" s="1">
        <v>1.5</v>
      </c>
      <c r="M1112" s="1">
        <v>962</v>
      </c>
      <c r="Q1112" s="1" t="s">
        <v>42</v>
      </c>
      <c r="S1112" s="1" t="s">
        <v>42</v>
      </c>
      <c r="T1112" s="1" t="s">
        <v>203</v>
      </c>
      <c r="U1112" s="1">
        <v>120</v>
      </c>
      <c r="V1112" s="5">
        <v>43703</v>
      </c>
      <c r="W1112" s="5">
        <v>42195</v>
      </c>
      <c r="X1112" s="1">
        <v>1425000</v>
      </c>
      <c r="Y1112" s="1">
        <v>1425000</v>
      </c>
      <c r="Z1112" s="5">
        <v>42370</v>
      </c>
      <c r="AA1112" s="1">
        <v>1451006</v>
      </c>
      <c r="AB1112" s="1" t="s">
        <v>857</v>
      </c>
      <c r="AC1112" s="5">
        <v>42424</v>
      </c>
      <c r="AF1112" s="1">
        <v>10025</v>
      </c>
      <c r="AI1112" s="1" t="s">
        <v>163</v>
      </c>
      <c r="AJ1112" s="1">
        <v>1971</v>
      </c>
      <c r="AK1112" s="1" t="s">
        <v>50</v>
      </c>
      <c r="AL1112" s="1">
        <v>226</v>
      </c>
    </row>
    <row r="1113" spans="1:38" x14ac:dyDescent="0.2">
      <c r="A1113" s="2" t="str">
        <f>HYPERLINK("https://www.compass.com/listing/75-kenmare-street-unit-2d-manhattan-ny-10012/494706368809526001/","75 Kenmare St, Unit 2D")</f>
        <v>75 Kenmare St, Unit 2D</v>
      </c>
      <c r="B1113" s="2" t="str">
        <f t="shared" ref="B1113:B1116" si="197">HYPERLINK("https://www.compass.com/building/75-kenmare-street-manhattan-ny/292810164757628581/","75 Kenmare Street")</f>
        <v>75 Kenmare Street</v>
      </c>
      <c r="C1113" s="1" t="s">
        <v>118</v>
      </c>
      <c r="D1113" s="1" t="s">
        <v>41</v>
      </c>
      <c r="E1113" s="3">
        <v>2647450</v>
      </c>
      <c r="F1113" s="1">
        <v>2268.5946872322102</v>
      </c>
      <c r="G1113" s="1">
        <v>4</v>
      </c>
      <c r="H1113" s="1">
        <v>2</v>
      </c>
      <c r="I1113" s="1">
        <v>2</v>
      </c>
      <c r="J1113" s="1">
        <v>2</v>
      </c>
      <c r="K1113" s="1">
        <v>2</v>
      </c>
      <c r="M1113" s="4">
        <v>1167</v>
      </c>
      <c r="N1113" s="1">
        <v>1275</v>
      </c>
      <c r="O1113" s="1">
        <v>2467</v>
      </c>
      <c r="P1113" s="1">
        <v>1192</v>
      </c>
      <c r="Q1113" s="1" t="s">
        <v>42</v>
      </c>
      <c r="S1113" s="1" t="s">
        <v>42</v>
      </c>
      <c r="T1113" s="1" t="s">
        <v>203</v>
      </c>
      <c r="U1113" s="1">
        <v>704</v>
      </c>
      <c r="V1113" s="5">
        <v>44427</v>
      </c>
      <c r="W1113" s="5">
        <v>43355</v>
      </c>
      <c r="X1113" s="1">
        <v>2950000</v>
      </c>
      <c r="Y1113" s="1">
        <v>2750000</v>
      </c>
      <c r="Z1113" s="5">
        <v>44154</v>
      </c>
      <c r="AA1113" s="1">
        <v>2647450</v>
      </c>
      <c r="AB1113" s="1" t="s">
        <v>858</v>
      </c>
      <c r="AC1113" s="5">
        <v>44210</v>
      </c>
      <c r="AF1113" s="1">
        <v>10012</v>
      </c>
      <c r="AI1113" s="1" t="s">
        <v>76</v>
      </c>
      <c r="AJ1113" s="1">
        <v>2017</v>
      </c>
      <c r="AK1113" s="1" t="s">
        <v>121</v>
      </c>
      <c r="AL1113" s="1">
        <v>38</v>
      </c>
    </row>
    <row r="1114" spans="1:38" x14ac:dyDescent="0.2">
      <c r="A1114" s="2" t="str">
        <f>HYPERLINK("https://www.compass.com/listing/75-kenmare-street-unit-4a-manhattan-ny-10012/801633319707799105/","75 Kenmare St, Unit 4A")</f>
        <v>75 Kenmare St, Unit 4A</v>
      </c>
      <c r="B1114" s="2" t="str">
        <f t="shared" si="197"/>
        <v>75 Kenmare Street</v>
      </c>
      <c r="C1114" s="1" t="s">
        <v>118</v>
      </c>
      <c r="D1114" s="1" t="s">
        <v>41</v>
      </c>
      <c r="E1114" s="3">
        <v>1775000</v>
      </c>
      <c r="F1114" s="1">
        <v>2213.21695760598</v>
      </c>
      <c r="G1114" s="1">
        <v>4</v>
      </c>
      <c r="H1114" s="1">
        <v>1</v>
      </c>
      <c r="I1114" s="1">
        <v>1</v>
      </c>
      <c r="J1114" s="1">
        <v>1</v>
      </c>
      <c r="K1114" s="1">
        <v>1</v>
      </c>
      <c r="M1114" s="1">
        <v>802</v>
      </c>
      <c r="N1114" s="1">
        <v>874</v>
      </c>
      <c r="O1114" s="1">
        <v>1691</v>
      </c>
      <c r="P1114" s="1">
        <v>817</v>
      </c>
      <c r="Q1114" s="1" t="s">
        <v>42</v>
      </c>
      <c r="S1114" s="1" t="s">
        <v>42</v>
      </c>
      <c r="T1114" s="1" t="s">
        <v>203</v>
      </c>
      <c r="U1114" s="1">
        <v>9</v>
      </c>
      <c r="V1114" s="5">
        <v>44413</v>
      </c>
      <c r="W1114" s="5">
        <v>44299</v>
      </c>
      <c r="Y1114" s="1">
        <v>1995000</v>
      </c>
      <c r="Z1114" s="5">
        <v>44309</v>
      </c>
      <c r="AA1114" s="1">
        <v>1775000</v>
      </c>
      <c r="AB1114" s="1" t="s">
        <v>859</v>
      </c>
      <c r="AC1114" s="5">
        <v>44379</v>
      </c>
      <c r="AF1114" s="1">
        <v>10012</v>
      </c>
      <c r="AI1114" s="1" t="s">
        <v>76</v>
      </c>
      <c r="AJ1114" s="1">
        <v>2017</v>
      </c>
      <c r="AK1114" s="1" t="s">
        <v>121</v>
      </c>
      <c r="AL1114" s="1">
        <v>38</v>
      </c>
    </row>
    <row r="1115" spans="1:38" x14ac:dyDescent="0.2">
      <c r="A1115" s="2" t="str">
        <f>HYPERLINK("https://www.compass.com/listing/75-kenmare-street-unit-6b-manhattan-ny-10012/749199157952278705/","75 Kenmare St, Unit 6B")</f>
        <v>75 Kenmare St, Unit 6B</v>
      </c>
      <c r="B1115" s="2" t="str">
        <f t="shared" si="197"/>
        <v>75 Kenmare Street</v>
      </c>
      <c r="C1115" s="1" t="s">
        <v>118</v>
      </c>
      <c r="D1115" s="1" t="s">
        <v>41</v>
      </c>
      <c r="E1115" s="3">
        <v>2300000</v>
      </c>
      <c r="F1115" s="1">
        <v>2491.8743228602302</v>
      </c>
      <c r="G1115" s="1">
        <v>3</v>
      </c>
      <c r="H1115" s="1">
        <v>1</v>
      </c>
      <c r="I1115" s="1">
        <v>1</v>
      </c>
      <c r="J1115" s="1">
        <v>1</v>
      </c>
      <c r="K1115" s="1">
        <v>1</v>
      </c>
      <c r="M1115" s="1">
        <v>923</v>
      </c>
      <c r="N1115" s="1">
        <v>1008</v>
      </c>
      <c r="O1115" s="1">
        <v>1950</v>
      </c>
      <c r="P1115" s="1">
        <v>942</v>
      </c>
      <c r="Q1115" s="1" t="s">
        <v>42</v>
      </c>
      <c r="S1115" s="1" t="s">
        <v>42</v>
      </c>
      <c r="T1115" s="1" t="s">
        <v>203</v>
      </c>
      <c r="U1115" s="1">
        <v>29</v>
      </c>
      <c r="V1115" s="5">
        <v>44338</v>
      </c>
      <c r="W1115" s="5">
        <v>44256</v>
      </c>
      <c r="X1115" s="1">
        <v>1</v>
      </c>
      <c r="Y1115" s="1">
        <v>2495000</v>
      </c>
      <c r="Z1115" s="5">
        <v>44286</v>
      </c>
      <c r="AA1115" s="1">
        <v>2300000</v>
      </c>
      <c r="AB1115" s="1" t="s">
        <v>860</v>
      </c>
      <c r="AC1115" s="5">
        <v>44300</v>
      </c>
      <c r="AF1115" s="1">
        <v>10012</v>
      </c>
      <c r="AI1115" s="1" t="s">
        <v>76</v>
      </c>
      <c r="AJ1115" s="1">
        <v>2017</v>
      </c>
      <c r="AK1115" s="1" t="s">
        <v>121</v>
      </c>
      <c r="AL1115" s="1">
        <v>38</v>
      </c>
    </row>
    <row r="1116" spans="1:38" x14ac:dyDescent="0.2">
      <c r="A1116" s="2" t="str">
        <f>HYPERLINK("https://www.compass.com/listing/75-kenmare-street-unit-4e-manhattan-ny-10012/801645844553987249/","75 Kenmare St, Unit 4E")</f>
        <v>75 Kenmare St, Unit 4E</v>
      </c>
      <c r="B1116" s="2" t="str">
        <f t="shared" si="197"/>
        <v>75 Kenmare Street</v>
      </c>
      <c r="C1116" s="1" t="s">
        <v>118</v>
      </c>
      <c r="D1116" s="1" t="s">
        <v>41</v>
      </c>
      <c r="E1116" s="3">
        <v>2400000</v>
      </c>
      <c r="F1116" s="1">
        <v>2350.6366307541598</v>
      </c>
      <c r="G1116" s="1">
        <v>4</v>
      </c>
      <c r="H1116" s="1">
        <v>2</v>
      </c>
      <c r="I1116" s="1">
        <v>2</v>
      </c>
      <c r="J1116" s="1">
        <v>2</v>
      </c>
      <c r="K1116" s="1">
        <v>2</v>
      </c>
      <c r="M1116" s="4">
        <v>1021</v>
      </c>
      <c r="N1116" s="1">
        <v>1113</v>
      </c>
      <c r="O1116" s="1">
        <v>2153</v>
      </c>
      <c r="P1116" s="1">
        <v>1040</v>
      </c>
      <c r="Q1116" s="1" t="s">
        <v>42</v>
      </c>
      <c r="S1116" s="1" t="s">
        <v>42</v>
      </c>
      <c r="T1116" s="1" t="s">
        <v>203</v>
      </c>
      <c r="V1116" s="5">
        <v>44427</v>
      </c>
      <c r="W1116" s="5">
        <v>44104</v>
      </c>
      <c r="X1116" s="1">
        <v>2395000</v>
      </c>
      <c r="Y1116" s="1">
        <v>2395000</v>
      </c>
      <c r="Z1116" s="5">
        <v>44104</v>
      </c>
      <c r="AA1116" s="1">
        <v>2400000</v>
      </c>
      <c r="AB1116" s="1" t="s">
        <v>854</v>
      </c>
      <c r="AC1116" s="5">
        <v>44148</v>
      </c>
      <c r="AF1116" s="1">
        <v>10012</v>
      </c>
      <c r="AI1116" s="1" t="s">
        <v>76</v>
      </c>
      <c r="AJ1116" s="1">
        <v>2017</v>
      </c>
      <c r="AK1116" s="1" t="s">
        <v>121</v>
      </c>
      <c r="AL1116" s="1">
        <v>38</v>
      </c>
    </row>
    <row r="1117" spans="1:38" x14ac:dyDescent="0.2">
      <c r="A1117" s="2" t="str">
        <f>HYPERLINK("https://www.compass.com/listing/275-west-10th-street-unit-7d-manhattan-ny-10014/441346002096586641/","275 W 10th St, Unit 7D")</f>
        <v>275 W 10th St, Unit 7D</v>
      </c>
      <c r="B1117" s="2" t="str">
        <f>HYPERLINK("https://www.compass.com/building/the-shephard-manhattan-ny/281931968864632917/","The Shephard")</f>
        <v>The Shephard</v>
      </c>
      <c r="C1117" s="1" t="s">
        <v>68</v>
      </c>
      <c r="D1117" s="1" t="s">
        <v>41</v>
      </c>
      <c r="E1117" s="3">
        <v>3400000</v>
      </c>
      <c r="F1117" s="1">
        <v>1896.26324595649</v>
      </c>
      <c r="H1117" s="1">
        <v>2</v>
      </c>
      <c r="J1117" s="1">
        <v>2</v>
      </c>
      <c r="M1117" s="4">
        <v>1793</v>
      </c>
      <c r="N1117" s="1">
        <v>1653</v>
      </c>
      <c r="O1117" s="1">
        <v>3817</v>
      </c>
      <c r="P1117" s="1">
        <v>2164</v>
      </c>
      <c r="Q1117" s="1" t="s">
        <v>42</v>
      </c>
      <c r="S1117" s="1" t="s">
        <v>42</v>
      </c>
      <c r="T1117" s="1" t="s">
        <v>203</v>
      </c>
      <c r="AA1117" s="1">
        <v>3400000</v>
      </c>
      <c r="AB1117" s="1" t="s">
        <v>861</v>
      </c>
      <c r="AC1117" s="5">
        <v>43789</v>
      </c>
      <c r="AF1117" s="1">
        <v>10014</v>
      </c>
      <c r="AI1117" s="1" t="s">
        <v>67</v>
      </c>
      <c r="AJ1117" s="1">
        <v>2015</v>
      </c>
      <c r="AK1117" s="1" t="s">
        <v>55</v>
      </c>
      <c r="AL1117" s="1">
        <v>38</v>
      </c>
    </row>
    <row r="1118" spans="1:38" x14ac:dyDescent="0.2">
      <c r="A1118" s="2" t="str">
        <f>HYPERLINK("https://www.compass.com/listing/269-west-87th-street-unit-3c-manhattan-ny-10024/26273879626471041/","269 W 87th St, Unit 3C")</f>
        <v>269 W 87th St, Unit 3C</v>
      </c>
      <c r="B1118" s="2" t="str">
        <f>HYPERLINK("https://www.compass.com/building/west-end-and-eighty-seven-manhattan-ny/282058755477110005/","West End and Eighty Seven")</f>
        <v>West End and Eighty Seven</v>
      </c>
      <c r="C1118" s="1" t="s">
        <v>47</v>
      </c>
      <c r="D1118" s="1" t="s">
        <v>41</v>
      </c>
      <c r="E1118" s="3">
        <v>2350000</v>
      </c>
      <c r="F1118" s="1">
        <v>1671.4082503556101</v>
      </c>
      <c r="G1118" s="1">
        <v>5</v>
      </c>
      <c r="H1118" s="1">
        <v>2</v>
      </c>
      <c r="J1118" s="1">
        <v>2.5</v>
      </c>
      <c r="M1118" s="4">
        <v>1406</v>
      </c>
      <c r="N1118" s="1">
        <v>3440</v>
      </c>
      <c r="O1118" s="1">
        <v>3440</v>
      </c>
      <c r="Q1118" s="1" t="s">
        <v>191</v>
      </c>
      <c r="S1118" s="1" t="s">
        <v>862</v>
      </c>
      <c r="T1118" s="1" t="s">
        <v>203</v>
      </c>
      <c r="U1118" s="1">
        <v>274</v>
      </c>
      <c r="V1118" s="5">
        <v>44247</v>
      </c>
      <c r="W1118" s="5">
        <v>43230</v>
      </c>
      <c r="X1118" s="1">
        <v>2300000</v>
      </c>
      <c r="Y1118" s="1">
        <v>2300000</v>
      </c>
      <c r="Z1118" s="5">
        <v>43504</v>
      </c>
      <c r="AA1118" s="1">
        <v>2350000</v>
      </c>
      <c r="AB1118" s="1" t="s">
        <v>863</v>
      </c>
      <c r="AC1118" s="5">
        <v>43553</v>
      </c>
      <c r="AF1118" s="1">
        <v>10024</v>
      </c>
      <c r="AI1118" s="1" t="s">
        <v>189</v>
      </c>
      <c r="AJ1118" s="1">
        <v>2018</v>
      </c>
      <c r="AK1118" s="1" t="s">
        <v>121</v>
      </c>
      <c r="AL1118" s="1">
        <v>39</v>
      </c>
    </row>
    <row r="1119" spans="1:38" x14ac:dyDescent="0.2">
      <c r="A1119" s="2" t="str">
        <f>HYPERLINK("https://www.compass.com/listing/75-kenmare-street-unit-3f-manhattan-ny-10012/132557748725417073/","75 Kenmare St, Unit 3F")</f>
        <v>75 Kenmare St, Unit 3F</v>
      </c>
      <c r="B1119" s="2" t="str">
        <f>HYPERLINK("https://www.compass.com/building/75-kenmare-street-manhattan-ny/292810164757628581/","75 Kenmare Street")</f>
        <v>75 Kenmare Street</v>
      </c>
      <c r="C1119" s="1" t="s">
        <v>118</v>
      </c>
      <c r="D1119" s="1" t="s">
        <v>41</v>
      </c>
      <c r="E1119" s="3">
        <v>3414839</v>
      </c>
      <c r="F1119" s="1">
        <v>2563.6927552552502</v>
      </c>
      <c r="G1119" s="1">
        <v>4</v>
      </c>
      <c r="H1119" s="1">
        <v>2</v>
      </c>
      <c r="I1119" s="1">
        <v>2</v>
      </c>
      <c r="J1119" s="1">
        <v>2</v>
      </c>
      <c r="K1119" s="1">
        <v>2</v>
      </c>
      <c r="M1119" s="4">
        <v>1332</v>
      </c>
      <c r="N1119" s="1">
        <v>1479</v>
      </c>
      <c r="O1119" s="1">
        <v>2640</v>
      </c>
      <c r="P1119" s="1">
        <v>1161</v>
      </c>
      <c r="Q1119" s="1" t="s">
        <v>42</v>
      </c>
      <c r="S1119" s="1" t="s">
        <v>42</v>
      </c>
      <c r="T1119" s="1" t="s">
        <v>203</v>
      </c>
      <c r="V1119" s="5">
        <v>44338</v>
      </c>
      <c r="W1119" s="5">
        <v>43434</v>
      </c>
      <c r="X1119" s="1">
        <v>3750000</v>
      </c>
      <c r="Y1119" s="1">
        <v>3750000</v>
      </c>
      <c r="Z1119" s="5">
        <v>43435</v>
      </c>
      <c r="AA1119" s="1">
        <v>3414838.75</v>
      </c>
      <c r="AB1119" s="1" t="s">
        <v>864</v>
      </c>
      <c r="AC1119" s="5">
        <v>43826</v>
      </c>
      <c r="AF1119" s="1">
        <v>10012</v>
      </c>
      <c r="AI1119" s="1" t="s">
        <v>76</v>
      </c>
      <c r="AJ1119" s="1">
        <v>2017</v>
      </c>
      <c r="AK1119" s="1" t="s">
        <v>121</v>
      </c>
      <c r="AL1119" s="1">
        <v>38</v>
      </c>
    </row>
    <row r="1120" spans="1:38" x14ac:dyDescent="0.2">
      <c r="A1120" s="2" t="str">
        <f>HYPERLINK("https://www.compass.com/listing/101-west-78th-street-unit-4a-manhattan-ny-10024/26126434095435713/","101 W 78th St, Unit 4A")</f>
        <v>101 W 78th St, Unit 4A</v>
      </c>
      <c r="B1120" s="2" t="str">
        <f>HYPERLINK("https://www.compass.com/building/101-w-78th-st-manhattan-ny-10024/281961405798754085/","101 W 78th St")</f>
        <v>101 W 78th St</v>
      </c>
      <c r="C1120" s="1" t="s">
        <v>47</v>
      </c>
      <c r="D1120" s="1" t="s">
        <v>41</v>
      </c>
      <c r="E1120" s="3">
        <v>10898550</v>
      </c>
      <c r="F1120" s="1">
        <v>2261.1099585062202</v>
      </c>
      <c r="G1120" s="1">
        <v>8</v>
      </c>
      <c r="H1120" s="1">
        <v>5</v>
      </c>
      <c r="I1120" s="1">
        <v>5</v>
      </c>
      <c r="J1120" s="1">
        <v>4.5</v>
      </c>
      <c r="K1120" s="1">
        <v>4</v>
      </c>
      <c r="L1120" s="1">
        <v>1</v>
      </c>
      <c r="M1120" s="4">
        <v>4820</v>
      </c>
      <c r="N1120" s="1">
        <v>6980</v>
      </c>
      <c r="O1120" s="1">
        <v>11485</v>
      </c>
      <c r="P1120" s="1">
        <v>4505</v>
      </c>
      <c r="Q1120" s="1" t="s">
        <v>42</v>
      </c>
      <c r="S1120" s="1" t="s">
        <v>42</v>
      </c>
      <c r="T1120" s="1" t="s">
        <v>203</v>
      </c>
      <c r="U1120" s="1">
        <v>135</v>
      </c>
      <c r="V1120" s="5">
        <v>43659</v>
      </c>
      <c r="W1120" s="5">
        <v>43431</v>
      </c>
      <c r="X1120" s="1">
        <v>11450000</v>
      </c>
      <c r="Y1120" s="1">
        <v>11450000</v>
      </c>
      <c r="Z1120" s="5">
        <v>43566</v>
      </c>
      <c r="AA1120" s="1">
        <v>10898550</v>
      </c>
      <c r="AB1120" s="1" t="s">
        <v>865</v>
      </c>
      <c r="AC1120" s="5">
        <v>43591</v>
      </c>
      <c r="AF1120" s="1">
        <v>10024</v>
      </c>
      <c r="AI1120" s="1" t="s">
        <v>784</v>
      </c>
      <c r="AJ1120" s="1">
        <v>1886</v>
      </c>
      <c r="AK1120" s="1" t="s">
        <v>537</v>
      </c>
      <c r="AL1120" s="1">
        <v>21</v>
      </c>
    </row>
    <row r="1121" spans="1:38" x14ac:dyDescent="0.2">
      <c r="A1121" s="2" t="str">
        <f>HYPERLINK("https://www.compass.com/listing/32-east-1st-street-unit-6ab-manhattan-ny-10003/345551742021860929/","32 E 1st St, Unit 6AB")</f>
        <v>32 E 1st St, Unit 6AB</v>
      </c>
      <c r="B1121" s="2" t="str">
        <f>HYPERLINK("https://www.compass.com/building/32-east-1st-street-manhattan-ny/292783157810310133/","32 East 1st Street")</f>
        <v>32 East 1st Street</v>
      </c>
      <c r="C1121" s="1" t="s">
        <v>88</v>
      </c>
      <c r="D1121" s="1" t="s">
        <v>41</v>
      </c>
      <c r="E1121" s="3">
        <v>4250000</v>
      </c>
      <c r="F1121" s="1">
        <v>2669.5979899497402</v>
      </c>
      <c r="G1121" s="1">
        <v>6</v>
      </c>
      <c r="H1121" s="1">
        <v>2</v>
      </c>
      <c r="I1121" s="1">
        <v>3</v>
      </c>
      <c r="J1121" s="1">
        <v>3</v>
      </c>
      <c r="M1121" s="4">
        <v>1592</v>
      </c>
      <c r="N1121" s="1">
        <v>2314</v>
      </c>
      <c r="O1121" s="1">
        <v>4844</v>
      </c>
      <c r="P1121" s="1">
        <v>2530</v>
      </c>
      <c r="Q1121" s="1" t="s">
        <v>42</v>
      </c>
      <c r="S1121" s="1" t="s">
        <v>42</v>
      </c>
      <c r="T1121" s="1" t="s">
        <v>203</v>
      </c>
      <c r="V1121" s="5">
        <v>43817</v>
      </c>
      <c r="Y1121" s="1">
        <v>4250000</v>
      </c>
      <c r="Z1121" s="5">
        <v>43078</v>
      </c>
      <c r="AB1121" s="1" t="s">
        <v>204</v>
      </c>
      <c r="AC1121" s="5">
        <v>43817</v>
      </c>
      <c r="AF1121" s="1">
        <v>10003</v>
      </c>
      <c r="AI1121" s="1" t="s">
        <v>45</v>
      </c>
      <c r="AJ1121" s="1">
        <v>2019</v>
      </c>
      <c r="AK1121" s="1" t="s">
        <v>55</v>
      </c>
      <c r="AL1121" s="1">
        <v>30</v>
      </c>
    </row>
    <row r="1122" spans="1:38" x14ac:dyDescent="0.2">
      <c r="A1122" s="2" t="str">
        <f>HYPERLINK("https://www.compass.com/listing/75-kenmare-street-unit-2a-manhattan-ny-10012/618848774120912105/","75 Kenmare St, Unit 2A")</f>
        <v>75 Kenmare St, Unit 2A</v>
      </c>
      <c r="B1122" s="2" t="str">
        <f>HYPERLINK("https://www.compass.com/building/75-kenmare-street-manhattan-ny/292810164757628581/","75 Kenmare Street")</f>
        <v>75 Kenmare Street</v>
      </c>
      <c r="C1122" s="1" t="s">
        <v>118</v>
      </c>
      <c r="D1122" s="1" t="s">
        <v>41</v>
      </c>
      <c r="E1122" s="3">
        <v>1700000</v>
      </c>
      <c r="F1122" s="1">
        <v>2085.88957055214</v>
      </c>
      <c r="G1122" s="1">
        <v>3</v>
      </c>
      <c r="H1122" s="1">
        <v>1</v>
      </c>
      <c r="I1122" s="1">
        <v>1</v>
      </c>
      <c r="J1122" s="1">
        <v>1</v>
      </c>
      <c r="K1122" s="1">
        <v>1</v>
      </c>
      <c r="M1122" s="1">
        <v>815</v>
      </c>
      <c r="N1122" s="1">
        <v>888</v>
      </c>
      <c r="O1122" s="1">
        <v>1718</v>
      </c>
      <c r="P1122" s="1">
        <v>830</v>
      </c>
      <c r="Q1122" s="1" t="s">
        <v>42</v>
      </c>
      <c r="S1122" s="1" t="s">
        <v>42</v>
      </c>
      <c r="T1122" s="1" t="s">
        <v>203</v>
      </c>
      <c r="U1122" s="1">
        <v>203</v>
      </c>
      <c r="V1122" s="5">
        <v>44378</v>
      </c>
      <c r="W1122" s="5">
        <v>44104</v>
      </c>
      <c r="Z1122" s="5">
        <v>44308</v>
      </c>
      <c r="AA1122" s="1">
        <v>1700000</v>
      </c>
      <c r="AB1122" s="1" t="s">
        <v>866</v>
      </c>
      <c r="AC1122" s="5">
        <v>44363</v>
      </c>
      <c r="AF1122" s="1">
        <v>10012</v>
      </c>
      <c r="AI1122" s="1" t="s">
        <v>76</v>
      </c>
      <c r="AJ1122" s="1">
        <v>2017</v>
      </c>
      <c r="AK1122" s="1" t="s">
        <v>121</v>
      </c>
      <c r="AL1122" s="1">
        <v>38</v>
      </c>
    </row>
    <row r="1123" spans="1:38" x14ac:dyDescent="0.2">
      <c r="A1123" s="2" t="str">
        <f>HYPERLINK("https://www.compass.com/listing/225-west-86th-street-unit-709-manhattan-ny-10024/96302678686114897/","225 W 86th St, Unit 709")</f>
        <v>225 W 86th St, Unit 709</v>
      </c>
      <c r="B1123" s="2" t="str">
        <f>HYPERLINK("https://www.compass.com/building/the-belnord-manhattan-ny/292869672083214101/","The Belnord")</f>
        <v>The Belnord</v>
      </c>
      <c r="C1123" s="1" t="s">
        <v>47</v>
      </c>
      <c r="D1123" s="1" t="s">
        <v>41</v>
      </c>
      <c r="E1123" s="3">
        <v>4650000</v>
      </c>
      <c r="F1123" s="1">
        <v>1820.6734534064201</v>
      </c>
      <c r="G1123" s="1">
        <v>7</v>
      </c>
      <c r="H1123" s="1">
        <v>3</v>
      </c>
      <c r="I1123" s="1">
        <v>4</v>
      </c>
      <c r="J1123" s="1">
        <v>4</v>
      </c>
      <c r="K1123" s="1">
        <v>4</v>
      </c>
      <c r="M1123" s="4">
        <v>2554</v>
      </c>
      <c r="N1123" s="1">
        <v>2206</v>
      </c>
      <c r="O1123" s="1">
        <v>5647</v>
      </c>
      <c r="P1123" s="1">
        <v>3441</v>
      </c>
      <c r="Q1123" s="1" t="s">
        <v>42</v>
      </c>
      <c r="S1123" s="1" t="s">
        <v>42</v>
      </c>
      <c r="T1123" s="1" t="s">
        <v>203</v>
      </c>
      <c r="V1123" s="5">
        <v>43606</v>
      </c>
      <c r="W1123" s="5">
        <v>43385</v>
      </c>
      <c r="X1123" s="1">
        <v>6900000</v>
      </c>
      <c r="Y1123" s="1">
        <v>6900000</v>
      </c>
      <c r="Z1123" s="5">
        <v>43385</v>
      </c>
      <c r="AA1123" s="1">
        <v>4758354</v>
      </c>
      <c r="AB1123" s="1" t="s">
        <v>204</v>
      </c>
      <c r="AC1123" s="5">
        <v>43564</v>
      </c>
      <c r="AF1123" s="1">
        <v>10024</v>
      </c>
      <c r="AI1123" s="1" t="s">
        <v>67</v>
      </c>
      <c r="AJ1123" s="1">
        <v>1908</v>
      </c>
      <c r="AK1123" s="1" t="s">
        <v>81</v>
      </c>
      <c r="AL1123" s="1">
        <v>213</v>
      </c>
    </row>
    <row r="1124" spans="1:38" x14ac:dyDescent="0.2">
      <c r="A1124" s="2" t="str">
        <f>HYPERLINK("https://www.compass.com/listing/212-west-95th-street-unit-5b-manhattan-ny-10025/223413741709021025/","212 W 95th St, Unit 5B")</f>
        <v>212 W 95th St, Unit 5B</v>
      </c>
      <c r="B1124" s="2" t="str">
        <f t="shared" ref="B1124:B1126" si="198">HYPERLINK("https://www.compass.com/building/dahlia-manhattan-ny/282058919214351605/","Dahlia")</f>
        <v>Dahlia</v>
      </c>
      <c r="C1124" s="1" t="s">
        <v>47</v>
      </c>
      <c r="D1124" s="1" t="s">
        <v>41</v>
      </c>
      <c r="E1124" s="3">
        <v>4407761</v>
      </c>
      <c r="F1124" s="1">
        <v>2124.2221397590301</v>
      </c>
      <c r="G1124" s="1">
        <v>6</v>
      </c>
      <c r="H1124" s="1">
        <v>4</v>
      </c>
      <c r="I1124" s="1">
        <v>4</v>
      </c>
      <c r="J1124" s="1">
        <v>4</v>
      </c>
      <c r="K1124" s="1">
        <v>4</v>
      </c>
      <c r="M1124" s="4">
        <v>2075</v>
      </c>
      <c r="N1124" s="1">
        <v>1816.56</v>
      </c>
      <c r="O1124" s="1">
        <v>4015.56</v>
      </c>
      <c r="P1124" s="1">
        <v>2199</v>
      </c>
      <c r="Q1124" s="1" t="s">
        <v>42</v>
      </c>
      <c r="S1124" s="1" t="s">
        <v>42</v>
      </c>
      <c r="T1124" s="1" t="s">
        <v>203</v>
      </c>
      <c r="V1124" s="5">
        <v>44041</v>
      </c>
      <c r="W1124" s="5">
        <v>43559</v>
      </c>
      <c r="X1124" s="1">
        <v>4055000</v>
      </c>
      <c r="Y1124" s="1">
        <v>4180000</v>
      </c>
      <c r="Z1124" s="5">
        <v>43559</v>
      </c>
      <c r="AA1124" s="1">
        <v>4407760.9400000004</v>
      </c>
      <c r="AB1124" s="1" t="s">
        <v>867</v>
      </c>
      <c r="AC1124" s="5">
        <v>44029</v>
      </c>
      <c r="AF1124" s="1">
        <v>10025</v>
      </c>
      <c r="AI1124" s="1" t="s">
        <v>52</v>
      </c>
      <c r="AJ1124" s="1">
        <v>2019</v>
      </c>
      <c r="AK1124" s="1" t="s">
        <v>87</v>
      </c>
      <c r="AL1124" s="1">
        <v>38</v>
      </c>
    </row>
    <row r="1125" spans="1:38" x14ac:dyDescent="0.2">
      <c r="A1125" s="2" t="str">
        <f>HYPERLINK("https://www.compass.com/listing/212-west-95th-street-unit-6b-manhattan-ny-10025/238438824173175089/","212 W 95th St, Unit 6B")</f>
        <v>212 W 95th St, Unit 6B</v>
      </c>
      <c r="B1125" s="2" t="str">
        <f t="shared" si="198"/>
        <v>Dahlia</v>
      </c>
      <c r="C1125" s="1" t="s">
        <v>47</v>
      </c>
      <c r="D1125" s="1" t="s">
        <v>41</v>
      </c>
      <c r="E1125" s="3">
        <v>4050000</v>
      </c>
      <c r="F1125" s="1">
        <v>1950.8670520231201</v>
      </c>
      <c r="G1125" s="1">
        <v>6</v>
      </c>
      <c r="H1125" s="1">
        <v>4</v>
      </c>
      <c r="I1125" s="1">
        <v>4</v>
      </c>
      <c r="J1125" s="1">
        <v>4</v>
      </c>
      <c r="K1125" s="1">
        <v>4</v>
      </c>
      <c r="M1125" s="4">
        <v>2076</v>
      </c>
      <c r="N1125" s="1">
        <v>1832.45</v>
      </c>
      <c r="O1125" s="1">
        <v>4051.12</v>
      </c>
      <c r="P1125" s="1">
        <v>2218.6666666666601</v>
      </c>
      <c r="Q1125" s="1" t="s">
        <v>42</v>
      </c>
      <c r="S1125" s="1" t="s">
        <v>42</v>
      </c>
      <c r="T1125" s="1" t="s">
        <v>203</v>
      </c>
      <c r="V1125" s="5">
        <v>44035</v>
      </c>
      <c r="W1125" s="5">
        <v>43580</v>
      </c>
      <c r="X1125" s="1">
        <v>4190000</v>
      </c>
      <c r="Y1125" s="1">
        <v>4190000</v>
      </c>
      <c r="Z1125" s="5">
        <v>43580</v>
      </c>
      <c r="AA1125" s="1">
        <v>4050000</v>
      </c>
      <c r="AB1125" s="1" t="s">
        <v>868</v>
      </c>
      <c r="AC1125" s="5">
        <v>44021</v>
      </c>
      <c r="AF1125" s="1">
        <v>10025</v>
      </c>
      <c r="AI1125" s="1" t="s">
        <v>52</v>
      </c>
      <c r="AJ1125" s="1">
        <v>2019</v>
      </c>
      <c r="AK1125" s="1" t="s">
        <v>87</v>
      </c>
      <c r="AL1125" s="1">
        <v>38</v>
      </c>
    </row>
    <row r="1126" spans="1:38" x14ac:dyDescent="0.2">
      <c r="A1126" s="2" t="str">
        <f>HYPERLINK("https://www.compass.com/listing/212-west-95th-street-unit-4b-manhattan-ny-10025/278220409936097473/","212 W 95th St, Unit 4B")</f>
        <v>212 W 95th St, Unit 4B</v>
      </c>
      <c r="B1126" s="2" t="str">
        <f t="shared" si="198"/>
        <v>Dahlia</v>
      </c>
      <c r="C1126" s="1" t="s">
        <v>47</v>
      </c>
      <c r="D1126" s="1" t="s">
        <v>41</v>
      </c>
      <c r="E1126" s="3">
        <v>4117278</v>
      </c>
      <c r="F1126" s="1">
        <v>1955.9516009501101</v>
      </c>
      <c r="G1126" s="1">
        <v>6</v>
      </c>
      <c r="H1126" s="1">
        <v>4</v>
      </c>
      <c r="I1126" s="1">
        <v>4</v>
      </c>
      <c r="J1126" s="1">
        <v>4</v>
      </c>
      <c r="K1126" s="1">
        <v>4</v>
      </c>
      <c r="M1126" s="4">
        <v>2105</v>
      </c>
      <c r="N1126" s="1">
        <v>1801.28</v>
      </c>
      <c r="O1126" s="1">
        <v>3982.2799999999902</v>
      </c>
      <c r="P1126" s="1">
        <v>2181</v>
      </c>
      <c r="Q1126" s="1" t="s">
        <v>42</v>
      </c>
      <c r="S1126" s="1" t="s">
        <v>42</v>
      </c>
      <c r="T1126" s="1" t="s">
        <v>203</v>
      </c>
      <c r="V1126" s="5">
        <v>44069</v>
      </c>
      <c r="W1126" s="5">
        <v>43635</v>
      </c>
      <c r="X1126" s="1">
        <v>4145000</v>
      </c>
      <c r="Y1126" s="1">
        <v>4145000</v>
      </c>
      <c r="Z1126" s="5">
        <v>43635</v>
      </c>
      <c r="AA1126" s="1">
        <v>4117278.12</v>
      </c>
      <c r="AB1126" s="1" t="s">
        <v>869</v>
      </c>
      <c r="AC1126" s="5">
        <v>44057</v>
      </c>
      <c r="AF1126" s="1">
        <v>10025</v>
      </c>
      <c r="AI1126" s="1" t="s">
        <v>52</v>
      </c>
      <c r="AJ1126" s="1">
        <v>2019</v>
      </c>
      <c r="AK1126" s="1" t="s">
        <v>87</v>
      </c>
      <c r="AL1126" s="1">
        <v>38</v>
      </c>
    </row>
    <row r="1127" spans="1:38" x14ac:dyDescent="0.2">
      <c r="A1127" s="2" t="str">
        <f>HYPERLINK("https://www.compass.com/listing/269-west-87th-street-unit-5c-manhattan-ny-10024/104879416898754289/","269 W 87th St, Unit 5C")</f>
        <v>269 W 87th St, Unit 5C</v>
      </c>
      <c r="B1127" s="2" t="str">
        <f>HYPERLINK("https://www.compass.com/building/west-end-and-eighty-seven-manhattan-ny/282058755477110005/","West End and Eighty Seven")</f>
        <v>West End and Eighty Seven</v>
      </c>
      <c r="C1127" s="1" t="s">
        <v>47</v>
      </c>
      <c r="D1127" s="1" t="s">
        <v>41</v>
      </c>
      <c r="E1127" s="3">
        <v>2400000</v>
      </c>
      <c r="F1127" s="1">
        <v>1706.97012802275</v>
      </c>
      <c r="G1127" s="1">
        <v>5</v>
      </c>
      <c r="H1127" s="1">
        <v>2</v>
      </c>
      <c r="I1127" s="1">
        <v>3</v>
      </c>
      <c r="J1127" s="1">
        <v>2.5</v>
      </c>
      <c r="K1127" s="1">
        <v>2</v>
      </c>
      <c r="L1127" s="1">
        <v>1</v>
      </c>
      <c r="M1127" s="4">
        <v>1406</v>
      </c>
      <c r="N1127" s="1">
        <v>4091</v>
      </c>
      <c r="O1127" s="1">
        <v>4091</v>
      </c>
      <c r="Q1127" s="1" t="s">
        <v>870</v>
      </c>
      <c r="S1127" s="1" t="s">
        <v>870</v>
      </c>
      <c r="T1127" s="1" t="s">
        <v>203</v>
      </c>
      <c r="V1127" s="5">
        <v>43756</v>
      </c>
      <c r="W1127" s="5">
        <v>43397</v>
      </c>
      <c r="X1127" s="1">
        <v>2520000</v>
      </c>
      <c r="Y1127" s="1">
        <v>2520000</v>
      </c>
      <c r="Z1127" s="5">
        <v>43397</v>
      </c>
      <c r="AA1127" s="1">
        <v>2400000</v>
      </c>
      <c r="AB1127" s="1" t="s">
        <v>871</v>
      </c>
      <c r="AC1127" s="5">
        <v>43556</v>
      </c>
      <c r="AF1127" s="1">
        <v>10024</v>
      </c>
      <c r="AI1127" s="1" t="s">
        <v>67</v>
      </c>
      <c r="AJ1127" s="1">
        <v>2018</v>
      </c>
      <c r="AK1127" s="1" t="s">
        <v>46</v>
      </c>
      <c r="AL1127" s="1">
        <v>39</v>
      </c>
    </row>
    <row r="1128" spans="1:38" x14ac:dyDescent="0.2">
      <c r="A1128" s="2" t="str">
        <f>HYPERLINK("https://www.compass.com/listing/275-west-10th-street-unit-11c-manhattan-ny-10014/29368602280911857/","275 W 10th St, Unit 11C")</f>
        <v>275 W 10th St, Unit 11C</v>
      </c>
      <c r="B1128" s="2" t="str">
        <f t="shared" ref="B1128:B1129" si="199">HYPERLINK("https://www.compass.com/building/the-shephard-manhattan-ny/281931968864632917/","The Shephard")</f>
        <v>The Shephard</v>
      </c>
      <c r="C1128" s="1" t="s">
        <v>68</v>
      </c>
      <c r="D1128" s="1" t="s">
        <v>41</v>
      </c>
      <c r="E1128" s="3">
        <v>1635000</v>
      </c>
      <c r="F1128" s="1">
        <v>2595.23809523809</v>
      </c>
      <c r="G1128" s="1">
        <v>1</v>
      </c>
      <c r="H1128" s="1" t="s">
        <v>77</v>
      </c>
      <c r="I1128" s="1">
        <v>1</v>
      </c>
      <c r="J1128" s="1">
        <v>1</v>
      </c>
      <c r="M1128" s="1">
        <v>630</v>
      </c>
      <c r="N1128" s="1">
        <v>758</v>
      </c>
      <c r="O1128" s="1">
        <v>1337</v>
      </c>
      <c r="P1128" s="1">
        <v>579</v>
      </c>
      <c r="Q1128" s="1" t="s">
        <v>42</v>
      </c>
      <c r="S1128" s="1" t="s">
        <v>42</v>
      </c>
      <c r="T1128" s="1" t="s">
        <v>203</v>
      </c>
      <c r="V1128" s="5">
        <v>43640</v>
      </c>
      <c r="W1128" s="5">
        <v>43148</v>
      </c>
      <c r="X1128" s="1">
        <v>1695000</v>
      </c>
      <c r="Y1128" s="1">
        <v>1695000</v>
      </c>
      <c r="Z1128" s="5">
        <v>43148</v>
      </c>
      <c r="AA1128" s="1">
        <v>1635000</v>
      </c>
      <c r="AB1128" s="1" t="s">
        <v>872</v>
      </c>
      <c r="AC1128" s="5">
        <v>43173</v>
      </c>
      <c r="AF1128" s="1">
        <v>10014</v>
      </c>
      <c r="AI1128" s="1" t="s">
        <v>67</v>
      </c>
      <c r="AJ1128" s="1">
        <v>2015</v>
      </c>
      <c r="AK1128" s="1" t="s">
        <v>87</v>
      </c>
      <c r="AL1128" s="1">
        <v>38</v>
      </c>
    </row>
    <row r="1129" spans="1:38" x14ac:dyDescent="0.2">
      <c r="A1129" s="2" t="str">
        <f>HYPERLINK("https://www.compass.com/listing/275-west-10th-street-unit-mais-d-manhattan-ny-10014/4818290057674768353/","275 W 10th St, Unit MAIS-D")</f>
        <v>275 W 10th St, Unit MAIS-D</v>
      </c>
      <c r="B1129" s="2" t="str">
        <f t="shared" si="199"/>
        <v>The Shephard</v>
      </c>
      <c r="C1129" s="1" t="s">
        <v>68</v>
      </c>
      <c r="D1129" s="1" t="s">
        <v>41</v>
      </c>
      <c r="E1129" s="3">
        <v>1250000</v>
      </c>
      <c r="G1129" s="1">
        <v>1</v>
      </c>
      <c r="H1129" s="1" t="s">
        <v>77</v>
      </c>
      <c r="I1129" s="1">
        <v>1</v>
      </c>
      <c r="J1129" s="1">
        <v>1</v>
      </c>
      <c r="N1129" s="1">
        <v>451</v>
      </c>
      <c r="O1129" s="1">
        <v>1042</v>
      </c>
      <c r="P1129" s="1">
        <v>591</v>
      </c>
      <c r="Q1129" s="1" t="s">
        <v>42</v>
      </c>
      <c r="S1129" s="1" t="s">
        <v>42</v>
      </c>
      <c r="T1129" s="1" t="s">
        <v>203</v>
      </c>
      <c r="V1129" s="5">
        <v>43677</v>
      </c>
      <c r="W1129" s="5">
        <v>43148</v>
      </c>
      <c r="X1129" s="1">
        <v>1250000</v>
      </c>
      <c r="Y1129" s="1">
        <v>1250000</v>
      </c>
      <c r="Z1129" s="5">
        <v>43148</v>
      </c>
      <c r="AA1129" s="1">
        <v>1250000</v>
      </c>
      <c r="AB1129" s="1" t="s">
        <v>204</v>
      </c>
      <c r="AC1129" s="5">
        <v>43172</v>
      </c>
      <c r="AF1129" s="1">
        <v>10014</v>
      </c>
      <c r="AI1129" s="1" t="s">
        <v>67</v>
      </c>
      <c r="AJ1129" s="1">
        <v>2015</v>
      </c>
      <c r="AK1129" s="1" t="s">
        <v>87</v>
      </c>
      <c r="AL1129" s="1">
        <v>38</v>
      </c>
    </row>
    <row r="1130" spans="1:38" x14ac:dyDescent="0.2">
      <c r="A1130" s="2" t="str">
        <f>HYPERLINK("https://www.compass.com/listing/75-kenmare-street-unit-5f-manhattan-ny-10012/274558819017733537/","75 Kenmare St, Unit 5F")</f>
        <v>75 Kenmare St, Unit 5F</v>
      </c>
      <c r="B1130" s="2" t="str">
        <f>HYPERLINK("https://www.compass.com/building/75-kenmare-street-manhattan-ny/292810164757628581/","75 Kenmare Street")</f>
        <v>75 Kenmare Street</v>
      </c>
      <c r="C1130" s="1" t="s">
        <v>118</v>
      </c>
      <c r="D1130" s="1" t="s">
        <v>41</v>
      </c>
      <c r="E1130" s="3">
        <v>3452022</v>
      </c>
      <c r="F1130" s="1">
        <v>2595.5049924812001</v>
      </c>
      <c r="G1130" s="1">
        <v>4</v>
      </c>
      <c r="H1130" s="1">
        <v>2</v>
      </c>
      <c r="I1130" s="1">
        <v>2</v>
      </c>
      <c r="J1130" s="1">
        <v>2</v>
      </c>
      <c r="K1130" s="1">
        <v>2</v>
      </c>
      <c r="M1130" s="4">
        <v>1330</v>
      </c>
      <c r="N1130" s="1">
        <v>1479</v>
      </c>
      <c r="O1130" s="1">
        <v>2639</v>
      </c>
      <c r="P1130" s="1">
        <v>1160</v>
      </c>
      <c r="Q1130" s="1" t="s">
        <v>42</v>
      </c>
      <c r="S1130" s="1" t="s">
        <v>42</v>
      </c>
      <c r="T1130" s="1" t="s">
        <v>203</v>
      </c>
      <c r="U1130" s="1">
        <v>153</v>
      </c>
      <c r="V1130" s="5">
        <v>44338</v>
      </c>
      <c r="W1130" s="5">
        <v>43483</v>
      </c>
      <c r="X1130" s="1">
        <v>3495000</v>
      </c>
      <c r="Y1130" s="1">
        <v>3495000</v>
      </c>
      <c r="Z1130" s="5">
        <v>43636</v>
      </c>
      <c r="AA1130" s="1">
        <v>3452021.64</v>
      </c>
      <c r="AB1130" s="1" t="s">
        <v>873</v>
      </c>
      <c r="AC1130" s="5">
        <v>43795</v>
      </c>
      <c r="AF1130" s="1">
        <v>10012</v>
      </c>
      <c r="AI1130" s="1" t="s">
        <v>76</v>
      </c>
      <c r="AJ1130" s="1">
        <v>2017</v>
      </c>
      <c r="AK1130" s="1" t="s">
        <v>121</v>
      </c>
      <c r="AL1130" s="1">
        <v>38</v>
      </c>
    </row>
    <row r="1131" spans="1:38" x14ac:dyDescent="0.2">
      <c r="A1131" s="2" t="str">
        <f>HYPERLINK("https://www.compass.com/listing/272-west-86th-street-unit-ph-manhattan-ny-10024/29400770797480561/","272 W 86th St, Unit PH")</f>
        <v>272 W 86th St, Unit PH</v>
      </c>
      <c r="B1131" s="2" t="str">
        <f>HYPERLINK("https://www.compass.com/building/272-w-86th-st-manhattan-ny-10024/281964694468640149/","272 W 86th St")</f>
        <v>272 W 86th St</v>
      </c>
      <c r="C1131" s="1" t="s">
        <v>47</v>
      </c>
      <c r="D1131" s="1" t="s">
        <v>41</v>
      </c>
      <c r="E1131" s="3">
        <v>9676430</v>
      </c>
      <c r="F1131" s="1">
        <v>2233.19409185321</v>
      </c>
      <c r="G1131" s="1">
        <v>9</v>
      </c>
      <c r="H1131" s="1">
        <v>6</v>
      </c>
      <c r="I1131" s="1">
        <v>6</v>
      </c>
      <c r="J1131" s="1">
        <v>0.5</v>
      </c>
      <c r="L1131" s="1">
        <v>1</v>
      </c>
      <c r="M1131" s="4">
        <v>4333</v>
      </c>
      <c r="N1131" s="1">
        <v>6753</v>
      </c>
      <c r="O1131" s="1">
        <v>11916</v>
      </c>
      <c r="P1131" s="1">
        <v>5163</v>
      </c>
      <c r="Q1131" s="1" t="s">
        <v>42</v>
      </c>
      <c r="S1131" s="1" t="s">
        <v>42</v>
      </c>
      <c r="T1131" s="1" t="s">
        <v>203</v>
      </c>
      <c r="U1131" s="1">
        <v>59</v>
      </c>
      <c r="V1131" s="5">
        <v>43649</v>
      </c>
      <c r="W1131" s="5">
        <v>42913</v>
      </c>
      <c r="X1131" s="1">
        <v>9950000</v>
      </c>
      <c r="Y1131" s="1">
        <v>9950000</v>
      </c>
      <c r="Z1131" s="5">
        <v>42972</v>
      </c>
      <c r="AA1131" s="1">
        <v>9676430</v>
      </c>
      <c r="AB1131" s="1" t="s">
        <v>874</v>
      </c>
      <c r="AC1131" s="5">
        <v>43050</v>
      </c>
      <c r="AF1131" s="1">
        <v>10024</v>
      </c>
      <c r="AI1131" s="1" t="s">
        <v>193</v>
      </c>
      <c r="AJ1131" s="1">
        <v>1895</v>
      </c>
      <c r="AK1131" s="1" t="s">
        <v>428</v>
      </c>
      <c r="AL1131" s="1">
        <v>7</v>
      </c>
    </row>
    <row r="1132" spans="1:38" x14ac:dyDescent="0.2">
      <c r="A1132" s="2" t="str">
        <f>HYPERLINK("https://www.compass.com/listing/225-west-86th-street-unit-507-manhattan-ny-10024/29508819532932305/","225 W 86th St, Unit 507")</f>
        <v>225 W 86th St, Unit 507</v>
      </c>
      <c r="B1132" s="2" t="str">
        <f>HYPERLINK("https://www.compass.com/building/the-belnord-manhattan-ny/292869672083214101/","The Belnord")</f>
        <v>The Belnord</v>
      </c>
      <c r="C1132" s="1" t="s">
        <v>47</v>
      </c>
      <c r="D1132" s="1" t="s">
        <v>41</v>
      </c>
      <c r="E1132" s="3">
        <v>3825126</v>
      </c>
      <c r="F1132" s="1">
        <v>1696.2864745011</v>
      </c>
      <c r="G1132" s="1">
        <v>7</v>
      </c>
      <c r="H1132" s="1">
        <v>3</v>
      </c>
      <c r="I1132" s="1">
        <v>4</v>
      </c>
      <c r="J1132" s="1">
        <v>3.5</v>
      </c>
      <c r="K1132" s="1">
        <v>3</v>
      </c>
      <c r="L1132" s="1">
        <v>1</v>
      </c>
      <c r="M1132" s="4">
        <v>2255</v>
      </c>
      <c r="N1132" s="1">
        <v>1929</v>
      </c>
      <c r="O1132" s="1">
        <v>4938</v>
      </c>
      <c r="P1132" s="1">
        <v>3009</v>
      </c>
      <c r="Q1132" s="1" t="s">
        <v>42</v>
      </c>
      <c r="S1132" s="1" t="s">
        <v>42</v>
      </c>
      <c r="T1132" s="1" t="s">
        <v>203</v>
      </c>
      <c r="U1132" s="1">
        <v>100</v>
      </c>
      <c r="V1132" s="5">
        <v>43648</v>
      </c>
      <c r="W1132" s="5">
        <v>43280</v>
      </c>
      <c r="X1132" s="1">
        <v>6000000</v>
      </c>
      <c r="Y1132" s="1">
        <v>6000000</v>
      </c>
      <c r="Z1132" s="5">
        <v>43380</v>
      </c>
      <c r="AA1132" s="1">
        <v>3825126</v>
      </c>
      <c r="AB1132" s="1" t="s">
        <v>204</v>
      </c>
      <c r="AC1132" s="5">
        <v>43572</v>
      </c>
      <c r="AF1132" s="1">
        <v>10024</v>
      </c>
      <c r="AI1132" s="1" t="s">
        <v>67</v>
      </c>
      <c r="AJ1132" s="1">
        <v>1908</v>
      </c>
      <c r="AK1132" s="1" t="s">
        <v>81</v>
      </c>
      <c r="AL1132" s="1">
        <v>213</v>
      </c>
    </row>
    <row r="1133" spans="1:38" x14ac:dyDescent="0.2">
      <c r="A1133" s="2" t="str">
        <f>HYPERLINK("https://www.compass.com/listing/421-west-22nd-street-unit-2f-manhattan-ny-10011/29370277452319249/","421 W 22nd St, Unit 2F")</f>
        <v>421 W 22nd St, Unit 2F</v>
      </c>
      <c r="B1133" s="2" t="str">
        <f>HYPERLINK("https://www.compass.com/building/421-w-22nd-st-manhattan-ny-10011/281910201349594997/","421 W 22nd St")</f>
        <v>421 W 22nd St</v>
      </c>
      <c r="C1133" s="1" t="s">
        <v>62</v>
      </c>
      <c r="D1133" s="1" t="s">
        <v>41</v>
      </c>
      <c r="E1133" s="3">
        <v>661863</v>
      </c>
      <c r="F1133" s="1">
        <v>1464.29756637168</v>
      </c>
      <c r="H1133" s="1" t="s">
        <v>69</v>
      </c>
      <c r="J1133" s="1">
        <v>1</v>
      </c>
      <c r="K1133" s="1">
        <v>1</v>
      </c>
      <c r="M1133" s="1">
        <v>452</v>
      </c>
      <c r="N1133" s="1">
        <v>307.47000000000003</v>
      </c>
      <c r="O1133" s="1">
        <v>702.47</v>
      </c>
      <c r="P1133" s="1">
        <v>395</v>
      </c>
      <c r="Q1133" s="1" t="s">
        <v>42</v>
      </c>
      <c r="S1133" s="1" t="s">
        <v>42</v>
      </c>
      <c r="T1133" s="1" t="s">
        <v>203</v>
      </c>
      <c r="AA1133" s="1">
        <v>661862.5</v>
      </c>
      <c r="AB1133" s="1" t="s">
        <v>875</v>
      </c>
      <c r="AC1133" s="5">
        <v>42039</v>
      </c>
      <c r="AF1133" s="1">
        <v>10011</v>
      </c>
      <c r="AI1133" s="1" t="s">
        <v>73</v>
      </c>
      <c r="AJ1133" s="1">
        <v>1900</v>
      </c>
      <c r="AL1133" s="1">
        <v>8</v>
      </c>
    </row>
    <row r="1134" spans="1:38" x14ac:dyDescent="0.2">
      <c r="A1134" s="2" t="str">
        <f>HYPERLINK("https://www.compass.com/listing/360-central-park-west-unit-9g-manhattan-ny-10025/29399274982801441/","360 Central Park W, Unit 9G")</f>
        <v>360 Central Park W, Unit 9G</v>
      </c>
      <c r="B1134" s="2" t="str">
        <f t="shared" ref="B1134:B1135" si="200">HYPERLINK("https://www.compass.com/building/360-central-park-west-manhattan-ny/281971555427243781/","360 Central Park West")</f>
        <v>360 Central Park West</v>
      </c>
      <c r="C1134" s="1" t="s">
        <v>47</v>
      </c>
      <c r="D1134" s="1" t="s">
        <v>41</v>
      </c>
      <c r="E1134" s="3">
        <v>761344</v>
      </c>
      <c r="F1134" s="1">
        <v>1592.76935146443</v>
      </c>
      <c r="G1134" s="1">
        <v>1</v>
      </c>
      <c r="H1134" s="1" t="s">
        <v>77</v>
      </c>
      <c r="I1134" s="1">
        <v>1</v>
      </c>
      <c r="M1134" s="1">
        <v>478</v>
      </c>
      <c r="N1134" s="1">
        <v>546</v>
      </c>
      <c r="O1134" s="1">
        <v>899</v>
      </c>
      <c r="P1134" s="1">
        <v>353</v>
      </c>
      <c r="Q1134" s="1" t="s">
        <v>42</v>
      </c>
      <c r="S1134" s="1" t="s">
        <v>42</v>
      </c>
      <c r="T1134" s="1" t="s">
        <v>203</v>
      </c>
      <c r="U1134" s="1">
        <v>768</v>
      </c>
      <c r="V1134" s="5">
        <v>43270</v>
      </c>
      <c r="W1134" s="5">
        <v>42405</v>
      </c>
      <c r="X1134" s="1">
        <v>795000</v>
      </c>
      <c r="Y1134" s="1">
        <v>795000</v>
      </c>
      <c r="AA1134" s="1">
        <v>761343.75</v>
      </c>
      <c r="AB1134" s="1" t="s">
        <v>876</v>
      </c>
      <c r="AC1134" s="5">
        <v>43265</v>
      </c>
      <c r="AF1134" s="1">
        <v>10025</v>
      </c>
      <c r="AJ1134" s="1">
        <v>1929</v>
      </c>
      <c r="AK1134" s="1" t="s">
        <v>87</v>
      </c>
      <c r="AL1134" s="1">
        <v>126</v>
      </c>
    </row>
    <row r="1135" spans="1:38" x14ac:dyDescent="0.2">
      <c r="A1135" s="2" t="str">
        <f>HYPERLINK("https://www.compass.com/listing/360-central-park-west-unit-9g-manhattan-ny-10025/29399274991190065/","360 Central Park W, Unit 9G")</f>
        <v>360 Central Park W, Unit 9G</v>
      </c>
      <c r="B1135" s="2" t="str">
        <f t="shared" si="200"/>
        <v>360 Central Park West</v>
      </c>
      <c r="C1135" s="1" t="s">
        <v>47</v>
      </c>
      <c r="D1135" s="1" t="s">
        <v>41</v>
      </c>
      <c r="E1135" s="3">
        <v>761344</v>
      </c>
      <c r="F1135" s="1">
        <v>1592.76935146443</v>
      </c>
      <c r="G1135" s="1">
        <v>1.5</v>
      </c>
      <c r="H1135" s="1" t="s">
        <v>77</v>
      </c>
      <c r="I1135" s="1">
        <v>1</v>
      </c>
      <c r="J1135" s="1">
        <v>1</v>
      </c>
      <c r="K1135" s="1">
        <v>1</v>
      </c>
      <c r="M1135" s="1">
        <v>478</v>
      </c>
      <c r="N1135" s="1">
        <v>546</v>
      </c>
      <c r="O1135" s="1">
        <v>899</v>
      </c>
      <c r="P1135" s="1">
        <v>353</v>
      </c>
      <c r="Q1135" s="1" t="s">
        <v>42</v>
      </c>
      <c r="S1135" s="1" t="s">
        <v>42</v>
      </c>
      <c r="T1135" s="1" t="s">
        <v>203</v>
      </c>
      <c r="U1135" s="1">
        <v>859</v>
      </c>
      <c r="V1135" s="5">
        <v>43678</v>
      </c>
      <c r="W1135" s="5">
        <v>42406</v>
      </c>
      <c r="X1135" s="1">
        <v>795000</v>
      </c>
      <c r="Y1135" s="1">
        <v>795000</v>
      </c>
      <c r="AA1135" s="1">
        <v>761343.75</v>
      </c>
      <c r="AB1135" s="1" t="s">
        <v>876</v>
      </c>
      <c r="AC1135" s="5">
        <v>43265</v>
      </c>
      <c r="AF1135" s="1">
        <v>10025</v>
      </c>
      <c r="AJ1135" s="1">
        <v>1929</v>
      </c>
      <c r="AK1135" s="1" t="s">
        <v>87</v>
      </c>
      <c r="AL1135" s="1">
        <v>126</v>
      </c>
    </row>
    <row r="1136" spans="1:38" x14ac:dyDescent="0.2">
      <c r="A1136" s="2" t="str">
        <f>HYPERLINK("https://www.compass.com/listing/75-kenmare-street-unit-4d-manhattan-ny-10012/29515058165870737/","75 Kenmare St, Unit 4D")</f>
        <v>75 Kenmare St, Unit 4D</v>
      </c>
      <c r="B1136" s="2" t="str">
        <f t="shared" ref="B1136:B1137" si="201">HYPERLINK("https://www.compass.com/building/75-kenmare-street-manhattan-ny/292810164757628581/","75 Kenmare Street")</f>
        <v>75 Kenmare Street</v>
      </c>
      <c r="C1136" s="1" t="s">
        <v>118</v>
      </c>
      <c r="D1136" s="1" t="s">
        <v>41</v>
      </c>
      <c r="E1136" s="3">
        <v>3525000</v>
      </c>
      <c r="F1136" s="1">
        <v>2937.5</v>
      </c>
      <c r="G1136" s="1">
        <v>4</v>
      </c>
      <c r="H1136" s="1">
        <v>2</v>
      </c>
      <c r="I1136" s="1">
        <v>2</v>
      </c>
      <c r="J1136" s="1">
        <v>2</v>
      </c>
      <c r="K1136" s="1">
        <v>2</v>
      </c>
      <c r="M1136" s="4">
        <v>1200</v>
      </c>
      <c r="N1136" s="1">
        <v>1294</v>
      </c>
      <c r="O1136" s="1">
        <v>2310</v>
      </c>
      <c r="P1136" s="1">
        <v>1016</v>
      </c>
      <c r="Q1136" s="1" t="s">
        <v>42</v>
      </c>
      <c r="S1136" s="1" t="s">
        <v>42</v>
      </c>
      <c r="T1136" s="1" t="s">
        <v>203</v>
      </c>
      <c r="U1136" s="1">
        <v>119</v>
      </c>
      <c r="V1136" s="5">
        <v>44427</v>
      </c>
      <c r="W1136" s="5">
        <v>42773</v>
      </c>
      <c r="X1136" s="1">
        <v>3550000</v>
      </c>
      <c r="Y1136" s="1">
        <v>3550000</v>
      </c>
      <c r="Z1136" s="5">
        <v>42892</v>
      </c>
      <c r="AA1136" s="1">
        <v>3525000</v>
      </c>
      <c r="AB1136" s="1" t="s">
        <v>877</v>
      </c>
      <c r="AC1136" s="5">
        <v>44025</v>
      </c>
      <c r="AF1136" s="1">
        <v>10012</v>
      </c>
      <c r="AI1136" s="1" t="s">
        <v>76</v>
      </c>
      <c r="AJ1136" s="1">
        <v>2017</v>
      </c>
      <c r="AK1136" s="1" t="s">
        <v>121</v>
      </c>
      <c r="AL1136" s="1">
        <v>38</v>
      </c>
    </row>
    <row r="1137" spans="1:38" x14ac:dyDescent="0.2">
      <c r="A1137" s="2" t="str">
        <f>HYPERLINK("https://www.compass.com/listing/75-kenmare-street-unit-5e-manhattan-ny-10012/29515058484665041/","75 Kenmare St, Unit 5E")</f>
        <v>75 Kenmare St, Unit 5E</v>
      </c>
      <c r="B1137" s="2" t="str">
        <f t="shared" si="201"/>
        <v>75 Kenmare Street</v>
      </c>
      <c r="C1137" s="1" t="s">
        <v>118</v>
      </c>
      <c r="D1137" s="1" t="s">
        <v>41</v>
      </c>
      <c r="E1137" s="3">
        <v>3025000</v>
      </c>
      <c r="F1137" s="1">
        <v>2962.78158667972</v>
      </c>
      <c r="G1137" s="1">
        <v>4</v>
      </c>
      <c r="H1137" s="1">
        <v>2</v>
      </c>
      <c r="I1137" s="1">
        <v>2</v>
      </c>
      <c r="J1137" s="1">
        <v>2</v>
      </c>
      <c r="K1137" s="1">
        <v>2</v>
      </c>
      <c r="M1137" s="4">
        <v>1021</v>
      </c>
      <c r="N1137" s="1">
        <v>1113</v>
      </c>
      <c r="O1137" s="1">
        <v>1976</v>
      </c>
      <c r="P1137" s="1">
        <v>863</v>
      </c>
      <c r="Q1137" s="1" t="s">
        <v>42</v>
      </c>
      <c r="S1137" s="1" t="s">
        <v>42</v>
      </c>
      <c r="T1137" s="1" t="s">
        <v>203</v>
      </c>
      <c r="U1137" s="1">
        <v>119</v>
      </c>
      <c r="V1137" s="5">
        <v>44427</v>
      </c>
      <c r="W1137" s="5">
        <v>42773</v>
      </c>
      <c r="X1137" s="1">
        <v>3100000</v>
      </c>
      <c r="Y1137" s="1">
        <v>3100000</v>
      </c>
      <c r="Z1137" s="5">
        <v>42892</v>
      </c>
      <c r="AA1137" s="1">
        <v>3025000</v>
      </c>
      <c r="AB1137" s="1" t="s">
        <v>878</v>
      </c>
      <c r="AC1137" s="5">
        <v>43998</v>
      </c>
      <c r="AF1137" s="1">
        <v>10012</v>
      </c>
      <c r="AI1137" s="1" t="s">
        <v>76</v>
      </c>
      <c r="AJ1137" s="1">
        <v>2017</v>
      </c>
      <c r="AK1137" s="1" t="s">
        <v>121</v>
      </c>
      <c r="AL1137" s="1">
        <v>38</v>
      </c>
    </row>
    <row r="1138" spans="1:38" x14ac:dyDescent="0.2">
      <c r="A1138" s="2" t="str">
        <f>HYPERLINK("https://www.compass.com/listing/101-west-78th-street-unit-8a-manhattan-ny-10024/29510302043293057/","101 W 78th St, Unit 8A")</f>
        <v>101 W 78th St, Unit 8A</v>
      </c>
      <c r="B1138" s="2" t="str">
        <f>HYPERLINK("https://www.compass.com/building/101-w-78th-st-manhattan-ny-10024/281961405798754085/","101 W 78th St")</f>
        <v>101 W 78th St</v>
      </c>
      <c r="C1138" s="1" t="s">
        <v>47</v>
      </c>
      <c r="D1138" s="1" t="s">
        <v>41</v>
      </c>
      <c r="E1138" s="3">
        <v>9200000</v>
      </c>
      <c r="F1138" s="1">
        <v>2212.0702091848998</v>
      </c>
      <c r="G1138" s="1">
        <v>6</v>
      </c>
      <c r="H1138" s="1">
        <v>4</v>
      </c>
      <c r="I1138" s="1">
        <v>4</v>
      </c>
      <c r="J1138" s="1">
        <v>3.5</v>
      </c>
      <c r="K1138" s="1">
        <v>3</v>
      </c>
      <c r="L1138" s="1">
        <v>1</v>
      </c>
      <c r="M1138" s="4">
        <v>4159</v>
      </c>
      <c r="N1138" s="1">
        <v>6022</v>
      </c>
      <c r="O1138" s="1">
        <v>9909</v>
      </c>
      <c r="P1138" s="1">
        <v>3887</v>
      </c>
      <c r="Q1138" s="1" t="s">
        <v>42</v>
      </c>
      <c r="S1138" s="1" t="s">
        <v>42</v>
      </c>
      <c r="T1138" s="1" t="s">
        <v>203</v>
      </c>
      <c r="U1138" s="1">
        <v>245</v>
      </c>
      <c r="V1138" s="5">
        <v>43647</v>
      </c>
      <c r="W1138" s="5">
        <v>43223</v>
      </c>
      <c r="X1138" s="1">
        <v>10950000</v>
      </c>
      <c r="Y1138" s="1">
        <v>10250000</v>
      </c>
      <c r="Z1138" s="5">
        <v>43468</v>
      </c>
      <c r="AA1138" s="1">
        <v>9200000</v>
      </c>
      <c r="AB1138" s="1" t="s">
        <v>783</v>
      </c>
      <c r="AC1138" s="5">
        <v>43487</v>
      </c>
      <c r="AF1138" s="1">
        <v>10024</v>
      </c>
      <c r="AI1138" s="1" t="s">
        <v>784</v>
      </c>
      <c r="AJ1138" s="1">
        <v>1886</v>
      </c>
      <c r="AK1138" s="1" t="s">
        <v>537</v>
      </c>
      <c r="AL1138" s="1">
        <v>21</v>
      </c>
    </row>
    <row r="1139" spans="1:38" x14ac:dyDescent="0.2">
      <c r="A1139" s="2" t="str">
        <f>HYPERLINK("https://www.compass.com/listing/210-bowery-unit-3-manhattan-ny-10012/29512770231786129/","210 Bowery, Unit 3")</f>
        <v>210 Bowery, Unit 3</v>
      </c>
      <c r="B1139" s="2" t="str">
        <f>HYPERLINK("https://www.compass.com/building/210-bowery-manhattan-ny-10012/281914022184383861/","210 Bowery")</f>
        <v>210 Bowery</v>
      </c>
      <c r="C1139" s="1" t="s">
        <v>118</v>
      </c>
      <c r="D1139" s="1" t="s">
        <v>41</v>
      </c>
      <c r="E1139" s="3">
        <v>3200000</v>
      </c>
      <c r="F1139" s="1">
        <v>1476.69589293954</v>
      </c>
      <c r="G1139" s="1">
        <v>6</v>
      </c>
      <c r="H1139" s="1">
        <v>3</v>
      </c>
      <c r="I1139" s="1">
        <v>3</v>
      </c>
      <c r="J1139" s="1">
        <v>3</v>
      </c>
      <c r="K1139" s="1">
        <v>3</v>
      </c>
      <c r="M1139" s="4">
        <v>2167</v>
      </c>
      <c r="N1139" s="1">
        <v>1353</v>
      </c>
      <c r="O1139" s="1">
        <v>2949</v>
      </c>
      <c r="P1139" s="1">
        <v>1596</v>
      </c>
      <c r="Q1139" s="1" t="s">
        <v>42</v>
      </c>
      <c r="S1139" s="1" t="s">
        <v>42</v>
      </c>
      <c r="T1139" s="1" t="s">
        <v>203</v>
      </c>
      <c r="U1139" s="1">
        <v>773</v>
      </c>
      <c r="V1139" s="5">
        <v>44225</v>
      </c>
      <c r="W1139" s="5">
        <v>42944</v>
      </c>
      <c r="X1139" s="1">
        <v>3875000</v>
      </c>
      <c r="Y1139" s="1">
        <v>3300000</v>
      </c>
      <c r="Z1139" s="5">
        <v>43735</v>
      </c>
      <c r="AA1139" s="1">
        <v>3200000</v>
      </c>
      <c r="AB1139" s="1" t="s">
        <v>879</v>
      </c>
      <c r="AC1139" s="5">
        <v>43731</v>
      </c>
      <c r="AF1139" s="1">
        <v>10012</v>
      </c>
      <c r="AI1139" s="1" t="s">
        <v>177</v>
      </c>
      <c r="AJ1139" s="1">
        <v>2016</v>
      </c>
      <c r="AK1139" s="1" t="s">
        <v>880</v>
      </c>
      <c r="AL1139" s="1">
        <v>7</v>
      </c>
    </row>
    <row r="1140" spans="1:38" x14ac:dyDescent="0.2">
      <c r="A1140" s="2" t="str">
        <f>HYPERLINK("https://www.compass.com/listing/75-kenmare-street-unit-5b-manhattan-ny-10012/343331679615130305/","75 Kenmare St, Unit 5B")</f>
        <v>75 Kenmare St, Unit 5B</v>
      </c>
      <c r="B1140" s="2" t="str">
        <f t="shared" ref="B1140:B1142" si="202">HYPERLINK("https://www.compass.com/building/75-kenmare-street-manhattan-ny/292810164757628581/","75 Kenmare Street")</f>
        <v>75 Kenmare Street</v>
      </c>
      <c r="C1140" s="1" t="s">
        <v>118</v>
      </c>
      <c r="D1140" s="1" t="s">
        <v>41</v>
      </c>
      <c r="E1140" s="3">
        <v>2250000</v>
      </c>
      <c r="F1140" s="1">
        <v>2437.7031419284899</v>
      </c>
      <c r="G1140" s="1">
        <v>3</v>
      </c>
      <c r="H1140" s="1">
        <v>1</v>
      </c>
      <c r="I1140" s="1">
        <v>1</v>
      </c>
      <c r="J1140" s="1">
        <v>1</v>
      </c>
      <c r="K1140" s="1">
        <v>1</v>
      </c>
      <c r="M1140" s="1">
        <v>923</v>
      </c>
      <c r="N1140" s="1">
        <v>1008</v>
      </c>
      <c r="O1140" s="1">
        <v>1950</v>
      </c>
      <c r="P1140" s="1">
        <v>942</v>
      </c>
      <c r="Q1140" s="1" t="s">
        <v>42</v>
      </c>
      <c r="S1140" s="1" t="s">
        <v>42</v>
      </c>
      <c r="T1140" s="1" t="s">
        <v>203</v>
      </c>
      <c r="U1140" s="1">
        <v>1430</v>
      </c>
      <c r="V1140" s="5">
        <v>44321</v>
      </c>
      <c r="W1140" s="5">
        <v>42773</v>
      </c>
      <c r="X1140" s="1">
        <v>2595000</v>
      </c>
      <c r="Y1140" s="1">
        <v>2450000</v>
      </c>
      <c r="Z1140" s="5">
        <v>44308</v>
      </c>
      <c r="AA1140" s="1">
        <v>2250000</v>
      </c>
      <c r="AB1140" s="1" t="s">
        <v>881</v>
      </c>
      <c r="AC1140" s="5">
        <v>44313</v>
      </c>
      <c r="AF1140" s="1">
        <v>10012</v>
      </c>
      <c r="AI1140" s="1" t="s">
        <v>76</v>
      </c>
      <c r="AJ1140" s="1">
        <v>2017</v>
      </c>
      <c r="AK1140" s="1" t="s">
        <v>121</v>
      </c>
      <c r="AL1140" s="1">
        <v>38</v>
      </c>
    </row>
    <row r="1141" spans="1:38" x14ac:dyDescent="0.2">
      <c r="A1141" s="2" t="str">
        <f>HYPERLINK("https://www.compass.com/listing/75-kenmare-street-unit-4a-manhattan-ny-10012/783574001313111089/","75 Kenmare St, Unit 4A")</f>
        <v>75 Kenmare St, Unit 4A</v>
      </c>
      <c r="B1141" s="2" t="str">
        <f t="shared" si="202"/>
        <v>75 Kenmare Street</v>
      </c>
      <c r="C1141" s="1" t="s">
        <v>118</v>
      </c>
      <c r="D1141" s="1" t="s">
        <v>41</v>
      </c>
      <c r="E1141" s="3">
        <v>1775000</v>
      </c>
      <c r="F1141" s="1">
        <v>2213.21695760598</v>
      </c>
      <c r="G1141" s="1">
        <v>4</v>
      </c>
      <c r="H1141" s="1">
        <v>1</v>
      </c>
      <c r="I1141" s="1">
        <v>1</v>
      </c>
      <c r="J1141" s="1">
        <v>1</v>
      </c>
      <c r="K1141" s="1">
        <v>1</v>
      </c>
      <c r="M1141" s="1">
        <v>802</v>
      </c>
      <c r="N1141" s="1">
        <v>874</v>
      </c>
      <c r="O1141" s="1">
        <v>1691</v>
      </c>
      <c r="P1141" s="1">
        <v>817</v>
      </c>
      <c r="Q1141" s="1" t="s">
        <v>42</v>
      </c>
      <c r="S1141" s="1" t="s">
        <v>42</v>
      </c>
      <c r="T1141" s="1" t="s">
        <v>203</v>
      </c>
      <c r="U1141" s="1">
        <v>722</v>
      </c>
      <c r="V1141" s="5">
        <v>44427</v>
      </c>
      <c r="W1141" s="5">
        <v>43483</v>
      </c>
      <c r="X1141" s="1">
        <v>1995000</v>
      </c>
      <c r="Y1141" s="1">
        <v>1995000</v>
      </c>
      <c r="Z1141" s="5">
        <v>44300</v>
      </c>
      <c r="AA1141" s="1">
        <v>1775000</v>
      </c>
      <c r="AB1141" s="1" t="s">
        <v>859</v>
      </c>
      <c r="AC1141" s="5">
        <v>44379</v>
      </c>
      <c r="AF1141" s="1">
        <v>10012</v>
      </c>
      <c r="AI1141" s="1" t="s">
        <v>76</v>
      </c>
      <c r="AJ1141" s="1">
        <v>2017</v>
      </c>
      <c r="AK1141" s="1" t="s">
        <v>121</v>
      </c>
      <c r="AL1141" s="1">
        <v>38</v>
      </c>
    </row>
    <row r="1142" spans="1:38" x14ac:dyDescent="0.2">
      <c r="A1142" s="2" t="str">
        <f>HYPERLINK("https://www.compass.com/listing/75-kenmare-street-unit-2b-manhattan-ny-10012/695044236493175001/","75 Kenmare St, Unit 2B")</f>
        <v>75 Kenmare St, Unit 2B</v>
      </c>
      <c r="B1142" s="2" t="str">
        <f t="shared" si="202"/>
        <v>75 Kenmare Street</v>
      </c>
      <c r="C1142" s="1" t="s">
        <v>118</v>
      </c>
      <c r="D1142" s="1" t="s">
        <v>41</v>
      </c>
      <c r="E1142" s="3">
        <v>1625000</v>
      </c>
      <c r="F1142" s="1">
        <v>2295.1977401129898</v>
      </c>
      <c r="G1142" s="1">
        <v>3</v>
      </c>
      <c r="H1142" s="1">
        <v>1</v>
      </c>
      <c r="I1142" s="1">
        <v>1</v>
      </c>
      <c r="J1142" s="1">
        <v>1</v>
      </c>
      <c r="K1142" s="1">
        <v>1</v>
      </c>
      <c r="M1142" s="1">
        <v>708</v>
      </c>
      <c r="N1142" s="1">
        <v>774</v>
      </c>
      <c r="O1142" s="1">
        <v>1497</v>
      </c>
      <c r="P1142" s="1">
        <v>723</v>
      </c>
      <c r="Q1142" s="1" t="s">
        <v>42</v>
      </c>
      <c r="S1142" s="1" t="s">
        <v>42</v>
      </c>
      <c r="T1142" s="1" t="s">
        <v>203</v>
      </c>
      <c r="U1142" s="1">
        <v>745</v>
      </c>
      <c r="V1142" s="5">
        <v>44372</v>
      </c>
      <c r="W1142" s="5">
        <v>43483</v>
      </c>
      <c r="Z1142" s="5">
        <v>44327</v>
      </c>
      <c r="AA1142" s="1">
        <v>1625000</v>
      </c>
      <c r="AB1142" s="1" t="s">
        <v>882</v>
      </c>
      <c r="AC1142" s="5">
        <v>44357</v>
      </c>
      <c r="AF1142" s="1">
        <v>10012</v>
      </c>
      <c r="AI1142" s="1" t="s">
        <v>76</v>
      </c>
      <c r="AJ1142" s="1">
        <v>2017</v>
      </c>
      <c r="AK1142" s="1" t="s">
        <v>121</v>
      </c>
      <c r="AL1142" s="1">
        <v>38</v>
      </c>
    </row>
    <row r="1143" spans="1:38" x14ac:dyDescent="0.2">
      <c r="A1143" s="2" t="str">
        <f>HYPERLINK("https://www.compass.com/listing/32-east-1st-street-unit-7c-manhattan-ny-10003/573836300359435865/","32 E 1st St, Unit 7C")</f>
        <v>32 E 1st St, Unit 7C</v>
      </c>
      <c r="B1143" s="2" t="str">
        <f t="shared" ref="B1143:B1144" si="203">HYPERLINK("https://www.compass.com/building/32-east-1st-street-manhattan-ny/292783157810310133/","32 East 1st Street")</f>
        <v>32 East 1st Street</v>
      </c>
      <c r="C1143" s="1" t="s">
        <v>88</v>
      </c>
      <c r="D1143" s="1" t="s">
        <v>41</v>
      </c>
      <c r="E1143" s="3">
        <v>3995000</v>
      </c>
      <c r="F1143" s="1">
        <v>2643.9444076770301</v>
      </c>
      <c r="G1143" s="1">
        <v>6</v>
      </c>
      <c r="H1143" s="1">
        <v>3</v>
      </c>
      <c r="I1143" s="1">
        <v>3</v>
      </c>
      <c r="J1143" s="1">
        <v>3</v>
      </c>
      <c r="K1143" s="1">
        <v>3</v>
      </c>
      <c r="M1143" s="4">
        <v>1511</v>
      </c>
      <c r="N1143" s="1">
        <v>2043</v>
      </c>
      <c r="O1143" s="1">
        <v>5143</v>
      </c>
      <c r="P1143" s="1">
        <v>3100</v>
      </c>
      <c r="Q1143" s="1" t="s">
        <v>42</v>
      </c>
      <c r="S1143" s="1" t="s">
        <v>42</v>
      </c>
      <c r="T1143" s="1" t="s">
        <v>203</v>
      </c>
      <c r="U1143" s="1">
        <v>1230</v>
      </c>
      <c r="V1143" s="5">
        <v>44337</v>
      </c>
      <c r="W1143" s="5">
        <v>42956</v>
      </c>
      <c r="X1143" s="1">
        <v>4200000</v>
      </c>
      <c r="Y1143" s="1">
        <v>4200000</v>
      </c>
      <c r="Z1143" s="5">
        <v>44281</v>
      </c>
      <c r="AA1143" s="1">
        <v>3995000</v>
      </c>
      <c r="AB1143" s="1" t="s">
        <v>883</v>
      </c>
      <c r="AC1143" s="5">
        <v>44307</v>
      </c>
      <c r="AF1143" s="1">
        <v>10003</v>
      </c>
      <c r="AI1143" s="1" t="s">
        <v>45</v>
      </c>
      <c r="AJ1143" s="1">
        <v>2019</v>
      </c>
      <c r="AK1143" s="1" t="s">
        <v>87</v>
      </c>
      <c r="AL1143" s="1">
        <v>30</v>
      </c>
    </row>
    <row r="1144" spans="1:38" x14ac:dyDescent="0.2">
      <c r="A1144" s="2" t="str">
        <f>HYPERLINK("https://www.compass.com/listing/32-east-1st-street-unit-4c-manhattan-ny-10003/784888259959201897/","32 E 1st St, Unit 4C")</f>
        <v>32 E 1st St, Unit 4C</v>
      </c>
      <c r="B1144" s="2" t="str">
        <f t="shared" si="203"/>
        <v>32 East 1st Street</v>
      </c>
      <c r="C1144" s="1" t="s">
        <v>88</v>
      </c>
      <c r="D1144" s="1" t="s">
        <v>41</v>
      </c>
      <c r="E1144" s="3">
        <v>3420550</v>
      </c>
      <c r="F1144" s="1">
        <v>2263.7657180675001</v>
      </c>
      <c r="G1144" s="1">
        <v>5.5</v>
      </c>
      <c r="H1144" s="1">
        <v>3</v>
      </c>
      <c r="I1144" s="1">
        <v>3</v>
      </c>
      <c r="J1144" s="1">
        <v>3</v>
      </c>
      <c r="K1144" s="1">
        <v>3</v>
      </c>
      <c r="M1144" s="4">
        <v>1511</v>
      </c>
      <c r="N1144" s="1">
        <v>1884</v>
      </c>
      <c r="O1144" s="1">
        <v>4739</v>
      </c>
      <c r="P1144" s="1">
        <v>2855</v>
      </c>
      <c r="Q1144" s="1" t="s">
        <v>42</v>
      </c>
      <c r="S1144" s="1" t="s">
        <v>42</v>
      </c>
      <c r="T1144" s="1" t="s">
        <v>203</v>
      </c>
      <c r="V1144" s="5">
        <v>44427</v>
      </c>
      <c r="W1144" s="5">
        <v>43767</v>
      </c>
      <c r="X1144" s="1">
        <v>3775000</v>
      </c>
      <c r="Y1144" s="1">
        <v>3775000</v>
      </c>
      <c r="Z1144" s="5">
        <v>43767</v>
      </c>
      <c r="AA1144" s="1">
        <v>3420550</v>
      </c>
      <c r="AB1144" s="1" t="s">
        <v>884</v>
      </c>
      <c r="AC1144" s="5">
        <v>44132</v>
      </c>
      <c r="AF1144" s="1">
        <v>10003</v>
      </c>
      <c r="AI1144" s="1" t="s">
        <v>45</v>
      </c>
      <c r="AJ1144" s="1">
        <v>2019</v>
      </c>
      <c r="AK1144" s="1" t="s">
        <v>87</v>
      </c>
      <c r="AL1144" s="1">
        <v>30</v>
      </c>
    </row>
    <row r="1145" spans="1:38" x14ac:dyDescent="0.2">
      <c r="A1145" s="2" t="str">
        <f>HYPERLINK("https://www.compass.com/listing/75-kenmare-street-unit-2h-manhattan-ny-10012/456413627579667145/","75 Kenmare St, Unit 2H")</f>
        <v>75 Kenmare St, Unit 2H</v>
      </c>
      <c r="B1145" s="2" t="str">
        <f t="shared" ref="B1145:B1146" si="204">HYPERLINK("https://www.compass.com/building/75-kenmare-street-manhattan-ny/292810164757628581/","75 Kenmare Street")</f>
        <v>75 Kenmare Street</v>
      </c>
      <c r="C1145" s="1" t="s">
        <v>118</v>
      </c>
      <c r="D1145" s="1" t="s">
        <v>41</v>
      </c>
      <c r="E1145" s="3">
        <v>1710467</v>
      </c>
      <c r="F1145" s="1">
        <v>2846.0347420964999</v>
      </c>
      <c r="G1145" s="1">
        <v>3.5</v>
      </c>
      <c r="H1145" s="1">
        <v>1</v>
      </c>
      <c r="I1145" s="1">
        <v>1</v>
      </c>
      <c r="J1145" s="1">
        <v>1</v>
      </c>
      <c r="K1145" s="1">
        <v>1</v>
      </c>
      <c r="M1145" s="1">
        <v>601</v>
      </c>
      <c r="N1145" s="1">
        <v>735</v>
      </c>
      <c r="O1145" s="1">
        <v>1422</v>
      </c>
      <c r="P1145" s="1">
        <v>687</v>
      </c>
      <c r="Q1145" s="1" t="s">
        <v>42</v>
      </c>
      <c r="S1145" s="1" t="s">
        <v>42</v>
      </c>
      <c r="T1145" s="1" t="s">
        <v>203</v>
      </c>
      <c r="U1145" s="1">
        <v>29</v>
      </c>
      <c r="V1145" s="5">
        <v>44338</v>
      </c>
      <c r="W1145" s="5">
        <v>43880</v>
      </c>
      <c r="X1145" s="1">
        <v>1895000</v>
      </c>
      <c r="Y1145" s="1">
        <v>1895000</v>
      </c>
      <c r="Z1145" s="5">
        <v>43932</v>
      </c>
      <c r="AA1145" s="1">
        <v>1710466.88</v>
      </c>
      <c r="AB1145" s="1" t="s">
        <v>885</v>
      </c>
      <c r="AC1145" s="5">
        <v>43951</v>
      </c>
      <c r="AF1145" s="1">
        <v>10012</v>
      </c>
      <c r="AI1145" s="1" t="s">
        <v>192</v>
      </c>
      <c r="AJ1145" s="1">
        <v>2017</v>
      </c>
      <c r="AK1145" s="1" t="s">
        <v>121</v>
      </c>
      <c r="AL1145" s="1">
        <v>38</v>
      </c>
    </row>
    <row r="1146" spans="1:38" x14ac:dyDescent="0.2">
      <c r="A1146" s="2" t="str">
        <f>HYPERLINK("https://www.compass.com/listing/75-kenmare-street-unit-2j-manhattan-ny-10012/167512442212017537/","75 Kenmare St, Unit 2J")</f>
        <v>75 Kenmare St, Unit 2J</v>
      </c>
      <c r="B1146" s="2" t="str">
        <f t="shared" si="204"/>
        <v>75 Kenmare Street</v>
      </c>
      <c r="C1146" s="1" t="s">
        <v>118</v>
      </c>
      <c r="D1146" s="1" t="s">
        <v>41</v>
      </c>
      <c r="E1146" s="3">
        <v>2320988</v>
      </c>
      <c r="F1146" s="1">
        <v>2584.6191536748302</v>
      </c>
      <c r="G1146" s="1">
        <v>3</v>
      </c>
      <c r="H1146" s="1">
        <v>1</v>
      </c>
      <c r="I1146" s="1">
        <v>2</v>
      </c>
      <c r="J1146" s="1">
        <v>1.5</v>
      </c>
      <c r="K1146" s="1">
        <v>1</v>
      </c>
      <c r="L1146" s="1">
        <v>1</v>
      </c>
      <c r="M1146" s="1">
        <v>898</v>
      </c>
      <c r="N1146" s="1">
        <v>1080</v>
      </c>
      <c r="O1146" s="1">
        <v>1928</v>
      </c>
      <c r="P1146" s="1">
        <v>848</v>
      </c>
      <c r="Q1146" s="1" t="s">
        <v>42</v>
      </c>
      <c r="S1146" s="1" t="s">
        <v>42</v>
      </c>
      <c r="T1146" s="1" t="s">
        <v>203</v>
      </c>
      <c r="U1146" s="1">
        <v>186</v>
      </c>
      <c r="V1146" s="5">
        <v>44338</v>
      </c>
      <c r="W1146" s="5">
        <v>43483</v>
      </c>
      <c r="X1146" s="1">
        <v>2295000</v>
      </c>
      <c r="Y1146" s="1">
        <v>2495000</v>
      </c>
      <c r="Z1146" s="5">
        <v>43669</v>
      </c>
      <c r="AA1146" s="1">
        <v>2320988</v>
      </c>
      <c r="AB1146" s="1" t="s">
        <v>886</v>
      </c>
      <c r="AC1146" s="5">
        <v>43869</v>
      </c>
      <c r="AF1146" s="1">
        <v>10012</v>
      </c>
      <c r="AI1146" s="1" t="s">
        <v>192</v>
      </c>
      <c r="AJ1146" s="1">
        <v>2017</v>
      </c>
      <c r="AK1146" s="1" t="s">
        <v>121</v>
      </c>
      <c r="AL1146" s="1">
        <v>38</v>
      </c>
    </row>
    <row r="1147" spans="1:38" x14ac:dyDescent="0.2">
      <c r="A1147" s="2" t="str">
        <f>HYPERLINK("https://www.compass.com/listing/269-west-87th-street-unit-2c-manhattan-ny-10024/231767071527022257/","269 W 87th St, Unit 2C")</f>
        <v>269 W 87th St, Unit 2C</v>
      </c>
      <c r="B1147" s="2" t="str">
        <f>HYPERLINK("https://www.compass.com/building/west-end-and-eighty-seven-manhattan-ny/282058755477110005/","West End and Eighty Seven")</f>
        <v>West End and Eighty Seven</v>
      </c>
      <c r="C1147" s="1" t="s">
        <v>47</v>
      </c>
      <c r="D1147" s="1" t="s">
        <v>41</v>
      </c>
      <c r="E1147" s="3">
        <v>2365000</v>
      </c>
      <c r="F1147" s="1">
        <v>1624.31318681318</v>
      </c>
      <c r="G1147" s="1">
        <v>5.5</v>
      </c>
      <c r="H1147" s="1">
        <v>2</v>
      </c>
      <c r="I1147" s="1">
        <v>3</v>
      </c>
      <c r="J1147" s="1">
        <v>2.5</v>
      </c>
      <c r="K1147" s="1">
        <v>2</v>
      </c>
      <c r="L1147" s="1">
        <v>1</v>
      </c>
      <c r="M1147" s="4">
        <v>1456</v>
      </c>
      <c r="N1147" s="1">
        <v>4236</v>
      </c>
      <c r="O1147" s="1">
        <v>4236</v>
      </c>
      <c r="Q1147" s="1" t="s">
        <v>870</v>
      </c>
      <c r="S1147" s="1" t="s">
        <v>870</v>
      </c>
      <c r="T1147" s="1" t="s">
        <v>203</v>
      </c>
      <c r="V1147" s="5">
        <v>43694</v>
      </c>
      <c r="W1147" s="5">
        <v>43572</v>
      </c>
      <c r="X1147" s="1">
        <v>2595000</v>
      </c>
      <c r="Y1147" s="1">
        <v>2595000</v>
      </c>
      <c r="Z1147" s="5">
        <v>43572</v>
      </c>
      <c r="AA1147" s="1">
        <v>2365000</v>
      </c>
      <c r="AB1147" s="1" t="s">
        <v>887</v>
      </c>
      <c r="AC1147" s="5">
        <v>43620</v>
      </c>
      <c r="AF1147" s="1">
        <v>10024</v>
      </c>
      <c r="AI1147" s="1" t="s">
        <v>67</v>
      </c>
      <c r="AJ1147" s="1">
        <v>2018</v>
      </c>
      <c r="AK1147" s="1" t="s">
        <v>46</v>
      </c>
      <c r="AL1147" s="1">
        <v>39</v>
      </c>
    </row>
    <row r="1148" spans="1:38" x14ac:dyDescent="0.2">
      <c r="A1148" s="2" t="str">
        <f>HYPERLINK("https://www.compass.com/listing/40-east-72nd-street-unit-4-manhattan-ny-10021/29411382738941009/","40 E 72nd St, Unit 4")</f>
        <v>40 E 72nd St, Unit 4</v>
      </c>
      <c r="B1148" s="2" t="str">
        <f t="shared" ref="B1148:B1150" si="205">HYPERLINK("https://www.compass.com/building/40-e-72nd-st-manhattan-ny-10021/281950881342095285/","40 E 72nd St")</f>
        <v>40 E 72nd St</v>
      </c>
      <c r="C1148" s="1" t="s">
        <v>53</v>
      </c>
      <c r="D1148" s="1" t="s">
        <v>41</v>
      </c>
      <c r="E1148" s="3">
        <v>11055000</v>
      </c>
      <c r="F1148" s="1">
        <v>3529.6934865900298</v>
      </c>
      <c r="G1148" s="1">
        <v>6</v>
      </c>
      <c r="H1148" s="1">
        <v>3</v>
      </c>
      <c r="I1148" s="1">
        <v>4</v>
      </c>
      <c r="J1148" s="1">
        <v>3.5</v>
      </c>
      <c r="M1148" s="4">
        <v>3132</v>
      </c>
      <c r="N1148" s="1">
        <v>5337</v>
      </c>
      <c r="O1148" s="1">
        <v>8713</v>
      </c>
      <c r="P1148" s="1">
        <v>3376</v>
      </c>
      <c r="Q1148" s="1" t="s">
        <v>42</v>
      </c>
      <c r="S1148" s="1" t="s">
        <v>42</v>
      </c>
      <c r="T1148" s="1" t="s">
        <v>203</v>
      </c>
      <c r="U1148" s="1">
        <v>288</v>
      </c>
      <c r="V1148" s="5">
        <v>43043</v>
      </c>
      <c r="W1148" s="5">
        <v>42527</v>
      </c>
      <c r="X1148" s="1">
        <v>11900000</v>
      </c>
      <c r="Y1148" s="1">
        <v>11900000</v>
      </c>
      <c r="AA1148" s="1">
        <v>11055000</v>
      </c>
      <c r="AB1148" s="1" t="s">
        <v>888</v>
      </c>
      <c r="AC1148" s="5">
        <v>42885</v>
      </c>
      <c r="AF1148" s="1">
        <v>10021</v>
      </c>
      <c r="AI1148" s="1" t="s">
        <v>889</v>
      </c>
      <c r="AJ1148" s="1">
        <v>1930</v>
      </c>
      <c r="AK1148" s="1" t="s">
        <v>55</v>
      </c>
      <c r="AL1148" s="1">
        <v>6</v>
      </c>
    </row>
    <row r="1149" spans="1:38" x14ac:dyDescent="0.2">
      <c r="A1149" s="2" t="str">
        <f>HYPERLINK("https://www.compass.com/listing/40-east-72nd-street-unit-5-manhattan-ny-10021/29411383166679537/","40 E 72nd St, Unit 5")</f>
        <v>40 E 72nd St, Unit 5</v>
      </c>
      <c r="B1149" s="2" t="str">
        <f t="shared" si="205"/>
        <v>40 E 72nd St</v>
      </c>
      <c r="C1149" s="1" t="s">
        <v>53</v>
      </c>
      <c r="D1149" s="1" t="s">
        <v>41</v>
      </c>
      <c r="E1149" s="3">
        <v>11155000</v>
      </c>
      <c r="F1149" s="1">
        <v>3561.6219667943801</v>
      </c>
      <c r="G1149" s="1">
        <v>6</v>
      </c>
      <c r="H1149" s="1">
        <v>3</v>
      </c>
      <c r="I1149" s="1">
        <v>4</v>
      </c>
      <c r="J1149" s="1">
        <v>3.5</v>
      </c>
      <c r="M1149" s="4">
        <v>3132</v>
      </c>
      <c r="N1149" s="1">
        <v>5449</v>
      </c>
      <c r="O1149" s="1">
        <v>8896</v>
      </c>
      <c r="P1149" s="1">
        <v>3447</v>
      </c>
      <c r="Q1149" s="1" t="s">
        <v>42</v>
      </c>
      <c r="S1149" s="1" t="s">
        <v>42</v>
      </c>
      <c r="T1149" s="1" t="s">
        <v>203</v>
      </c>
      <c r="U1149" s="1">
        <v>554</v>
      </c>
      <c r="V1149" s="5">
        <v>42903</v>
      </c>
      <c r="W1149" s="5">
        <v>42292</v>
      </c>
      <c r="X1149" s="1">
        <v>12150000</v>
      </c>
      <c r="Y1149" s="1">
        <v>12150000</v>
      </c>
      <c r="Z1149" s="5">
        <v>42847</v>
      </c>
      <c r="AA1149" s="1">
        <v>11155000</v>
      </c>
      <c r="AB1149" s="1" t="s">
        <v>890</v>
      </c>
      <c r="AC1149" s="5">
        <v>42901</v>
      </c>
      <c r="AF1149" s="1">
        <v>10021</v>
      </c>
      <c r="AI1149" s="1" t="s">
        <v>181</v>
      </c>
      <c r="AJ1149" s="1">
        <v>1930</v>
      </c>
      <c r="AK1149" s="1" t="s">
        <v>55</v>
      </c>
      <c r="AL1149" s="1">
        <v>6</v>
      </c>
    </row>
    <row r="1150" spans="1:38" x14ac:dyDescent="0.2">
      <c r="A1150" s="2" t="str">
        <f>HYPERLINK("https://www.compass.com/listing/40-east-72nd-street-unit-3-manhattan-ny-10021/803347865795472577/","40 E 72nd St, Unit 3")</f>
        <v>40 E 72nd St, Unit 3</v>
      </c>
      <c r="B1150" s="2" t="str">
        <f t="shared" si="205"/>
        <v>40 E 72nd St</v>
      </c>
      <c r="C1150" s="1" t="s">
        <v>53</v>
      </c>
      <c r="D1150" s="1" t="s">
        <v>41</v>
      </c>
      <c r="E1150" s="3">
        <v>11205841</v>
      </c>
      <c r="F1150" s="1">
        <v>3577.8548052362698</v>
      </c>
      <c r="G1150" s="1">
        <v>6</v>
      </c>
      <c r="H1150" s="1">
        <v>3</v>
      </c>
      <c r="I1150" s="1">
        <v>4</v>
      </c>
      <c r="J1150" s="1">
        <v>3.5</v>
      </c>
      <c r="M1150" s="4">
        <v>3132</v>
      </c>
      <c r="N1150" s="1">
        <v>3305</v>
      </c>
      <c r="O1150" s="1">
        <v>6610</v>
      </c>
      <c r="P1150" s="1">
        <v>3305</v>
      </c>
      <c r="Q1150" s="1" t="s">
        <v>42</v>
      </c>
      <c r="S1150" s="1" t="s">
        <v>42</v>
      </c>
      <c r="T1150" s="1" t="s">
        <v>203</v>
      </c>
      <c r="U1150" s="1">
        <v>5</v>
      </c>
      <c r="V1150" s="5">
        <v>42937</v>
      </c>
      <c r="W1150" s="5">
        <v>42669</v>
      </c>
      <c r="X1150" s="1">
        <v>11650000</v>
      </c>
      <c r="Y1150" s="1">
        <v>11650000</v>
      </c>
      <c r="Z1150" s="5">
        <v>42675</v>
      </c>
      <c r="AA1150" s="1">
        <v>11205841.25</v>
      </c>
      <c r="AB1150" s="1" t="s">
        <v>891</v>
      </c>
      <c r="AC1150" s="5">
        <v>42887</v>
      </c>
      <c r="AF1150" s="1">
        <v>10021</v>
      </c>
      <c r="AI1150" s="1" t="s">
        <v>58</v>
      </c>
      <c r="AJ1150" s="1">
        <v>1930</v>
      </c>
      <c r="AK1150" s="1" t="s">
        <v>55</v>
      </c>
      <c r="AL1150" s="1">
        <v>6</v>
      </c>
    </row>
    <row r="1151" spans="1:38" x14ac:dyDescent="0.2">
      <c r="A1151" s="2" t="str">
        <f>HYPERLINK("https://www.compass.com/listing/225-west-86th-street-unit-114-manhattan-ny-10024/115199762440969233/","225 W 86th St, Unit 114")</f>
        <v>225 W 86th St, Unit 114</v>
      </c>
      <c r="B1151" s="2" t="str">
        <f t="shared" ref="B1151:B1152" si="206">HYPERLINK("https://www.compass.com/building/the-belnord-manhattan-ny/292869672083214101/","The Belnord")</f>
        <v>The Belnord</v>
      </c>
      <c r="C1151" s="1" t="s">
        <v>47</v>
      </c>
      <c r="D1151" s="1" t="s">
        <v>41</v>
      </c>
      <c r="E1151" s="3">
        <v>2795965</v>
      </c>
      <c r="F1151" s="1">
        <v>1049.53641141141</v>
      </c>
      <c r="G1151" s="1">
        <v>7</v>
      </c>
      <c r="H1151" s="1">
        <v>3</v>
      </c>
      <c r="I1151" s="1">
        <v>4</v>
      </c>
      <c r="J1151" s="1">
        <v>3.5</v>
      </c>
      <c r="K1151" s="1">
        <v>3</v>
      </c>
      <c r="L1151" s="1">
        <v>1</v>
      </c>
      <c r="M1151" s="4">
        <v>2664</v>
      </c>
      <c r="N1151" s="1">
        <v>2234</v>
      </c>
      <c r="O1151" s="1">
        <v>5719</v>
      </c>
      <c r="P1151" s="1">
        <v>3485</v>
      </c>
      <c r="Q1151" s="1" t="s">
        <v>42</v>
      </c>
      <c r="S1151" s="1" t="s">
        <v>42</v>
      </c>
      <c r="T1151" s="1" t="s">
        <v>203</v>
      </c>
      <c r="U1151" s="1">
        <v>42</v>
      </c>
      <c r="V1151" s="5">
        <v>44373</v>
      </c>
      <c r="W1151" s="5">
        <v>43313</v>
      </c>
      <c r="X1151" s="1">
        <v>6500000</v>
      </c>
      <c r="Y1151" s="1">
        <v>6500000</v>
      </c>
      <c r="Z1151" s="5">
        <v>43355</v>
      </c>
      <c r="AA1151" s="1">
        <v>2795965</v>
      </c>
      <c r="AB1151" s="1" t="s">
        <v>204</v>
      </c>
      <c r="AC1151" s="5">
        <v>43567</v>
      </c>
      <c r="AF1151" s="1">
        <v>10024</v>
      </c>
      <c r="AI1151" s="1" t="s">
        <v>67</v>
      </c>
      <c r="AJ1151" s="1">
        <v>1908</v>
      </c>
      <c r="AK1151" s="1" t="s">
        <v>81</v>
      </c>
      <c r="AL1151" s="1">
        <v>213</v>
      </c>
    </row>
    <row r="1152" spans="1:38" x14ac:dyDescent="0.2">
      <c r="A1152" s="2" t="str">
        <f>HYPERLINK("https://www.compass.com/listing/225-west-86th-street-unit-m14-manhattan-ny-10024/152631519142276577/","225 W 86th St, Unit M14")</f>
        <v>225 W 86th St, Unit M14</v>
      </c>
      <c r="B1152" s="2" t="str">
        <f t="shared" si="206"/>
        <v>The Belnord</v>
      </c>
      <c r="C1152" s="1" t="s">
        <v>47</v>
      </c>
      <c r="D1152" s="1" t="s">
        <v>41</v>
      </c>
      <c r="E1152" s="3">
        <v>2800000</v>
      </c>
      <c r="F1152" s="1">
        <v>1248.8849241748401</v>
      </c>
      <c r="G1152" s="1">
        <v>6</v>
      </c>
      <c r="H1152" s="1">
        <v>3</v>
      </c>
      <c r="I1152" s="1">
        <v>4</v>
      </c>
      <c r="J1152" s="1">
        <v>3.5</v>
      </c>
      <c r="K1152" s="1">
        <v>3</v>
      </c>
      <c r="L1152" s="1">
        <v>1</v>
      </c>
      <c r="M1152" s="4">
        <v>2242</v>
      </c>
      <c r="N1152" s="1">
        <v>1871</v>
      </c>
      <c r="O1152" s="1">
        <v>4789</v>
      </c>
      <c r="P1152" s="1">
        <v>2918</v>
      </c>
      <c r="Q1152" s="1" t="s">
        <v>42</v>
      </c>
      <c r="S1152" s="1" t="s">
        <v>42</v>
      </c>
      <c r="T1152" s="1" t="s">
        <v>203</v>
      </c>
      <c r="U1152" s="1">
        <v>92</v>
      </c>
      <c r="V1152" s="5">
        <v>44338</v>
      </c>
      <c r="W1152" s="5">
        <v>43370</v>
      </c>
      <c r="X1152" s="1">
        <v>5630000</v>
      </c>
      <c r="Y1152" s="1">
        <v>5630000</v>
      </c>
      <c r="AA1152" s="1">
        <v>2800000</v>
      </c>
      <c r="AB1152" s="1" t="s">
        <v>204</v>
      </c>
      <c r="AC1152" s="5">
        <v>43462</v>
      </c>
      <c r="AF1152" s="1">
        <v>10024</v>
      </c>
      <c r="AI1152" s="1" t="s">
        <v>67</v>
      </c>
      <c r="AJ1152" s="1">
        <v>1908</v>
      </c>
      <c r="AK1152" s="1" t="s">
        <v>81</v>
      </c>
      <c r="AL1152" s="1">
        <v>213</v>
      </c>
    </row>
    <row r="1153" spans="1:38" x14ac:dyDescent="0.2">
      <c r="A1153" s="2" t="str">
        <f>HYPERLINK("https://www.compass.com/listing/272-west-86th-street-unit-2w-manhattan-ny-10024/29400767265792145/","272 W 86th St, Unit 2W")</f>
        <v>272 W 86th St, Unit 2W</v>
      </c>
      <c r="B1153" s="2" t="str">
        <f>HYPERLINK("https://www.compass.com/building/272-w-86th-st-manhattan-ny-10024/281964694468640149/","272 W 86th St")</f>
        <v>272 W 86th St</v>
      </c>
      <c r="C1153" s="1" t="s">
        <v>47</v>
      </c>
      <c r="D1153" s="1" t="s">
        <v>41</v>
      </c>
      <c r="E1153" s="3">
        <v>4710934</v>
      </c>
      <c r="F1153" s="1">
        <v>1835.90568978955</v>
      </c>
      <c r="G1153" s="1">
        <v>6</v>
      </c>
      <c r="H1153" s="1">
        <v>4</v>
      </c>
      <c r="I1153" s="1">
        <v>3</v>
      </c>
      <c r="M1153" s="4">
        <v>2566</v>
      </c>
      <c r="N1153" s="1">
        <v>3292</v>
      </c>
      <c r="O1153" s="1">
        <v>5809</v>
      </c>
      <c r="P1153" s="1">
        <v>2517</v>
      </c>
      <c r="Q1153" s="1" t="s">
        <v>42</v>
      </c>
      <c r="S1153" s="1" t="s">
        <v>42</v>
      </c>
      <c r="T1153" s="1" t="s">
        <v>203</v>
      </c>
      <c r="U1153" s="1">
        <v>20</v>
      </c>
      <c r="V1153" s="5">
        <v>43637</v>
      </c>
      <c r="W1153" s="5">
        <v>43008</v>
      </c>
      <c r="X1153" s="1">
        <v>4750000</v>
      </c>
      <c r="Y1153" s="1">
        <v>4750000</v>
      </c>
      <c r="Z1153" s="5">
        <v>43028</v>
      </c>
      <c r="AA1153" s="1">
        <v>4710934</v>
      </c>
      <c r="AB1153" s="1" t="s">
        <v>892</v>
      </c>
      <c r="AC1153" s="5">
        <v>43084</v>
      </c>
      <c r="AF1153" s="1">
        <v>10024</v>
      </c>
      <c r="AJ1153" s="1">
        <v>1895</v>
      </c>
      <c r="AK1153" s="1" t="s">
        <v>87</v>
      </c>
      <c r="AL1153" s="1">
        <v>7</v>
      </c>
    </row>
    <row r="1154" spans="1:38" x14ac:dyDescent="0.2">
      <c r="A1154" s="2" t="str">
        <f>HYPERLINK("https://www.compass.com/listing/269-west-87th-street-unit-4c-manhattan-ny-10024/29514398108222001/","269 W 87th St, Unit 4C")</f>
        <v>269 W 87th St, Unit 4C</v>
      </c>
      <c r="B1154" s="2" t="str">
        <f t="shared" ref="B1154:B1158" si="207">HYPERLINK("https://www.compass.com/building/west-end-and-eighty-seven-manhattan-ny/282058755477110005/","West End and Eighty Seven")</f>
        <v>West End and Eighty Seven</v>
      </c>
      <c r="C1154" s="1" t="s">
        <v>47</v>
      </c>
      <c r="D1154" s="1" t="s">
        <v>41</v>
      </c>
      <c r="E1154" s="3">
        <v>2446800</v>
      </c>
      <c r="F1154" s="1">
        <v>1740.2560455191999</v>
      </c>
      <c r="G1154" s="1">
        <v>5</v>
      </c>
      <c r="H1154" s="1">
        <v>2</v>
      </c>
      <c r="I1154" s="1">
        <v>3</v>
      </c>
      <c r="J1154" s="1">
        <v>2.5</v>
      </c>
      <c r="K1154" s="1">
        <v>2</v>
      </c>
      <c r="L1154" s="1">
        <v>1</v>
      </c>
      <c r="M1154" s="4">
        <v>1406</v>
      </c>
      <c r="N1154" s="1">
        <v>4091</v>
      </c>
      <c r="O1154" s="1">
        <v>4091</v>
      </c>
      <c r="Q1154" s="1" t="s">
        <v>870</v>
      </c>
      <c r="S1154" s="1" t="s">
        <v>870</v>
      </c>
      <c r="T1154" s="1" t="s">
        <v>203</v>
      </c>
      <c r="U1154" s="1">
        <v>84</v>
      </c>
      <c r="V1154" s="5">
        <v>43756</v>
      </c>
      <c r="W1154" s="5">
        <v>43272</v>
      </c>
      <c r="X1154" s="1">
        <v>2470000</v>
      </c>
      <c r="Y1154" s="1">
        <v>2470000</v>
      </c>
      <c r="Z1154" s="5">
        <v>43356</v>
      </c>
      <c r="AA1154" s="1">
        <v>2446800</v>
      </c>
      <c r="AB1154" s="1" t="s">
        <v>893</v>
      </c>
      <c r="AC1154" s="5">
        <v>43577</v>
      </c>
      <c r="AF1154" s="1">
        <v>10024</v>
      </c>
      <c r="AI1154" s="1" t="s">
        <v>67</v>
      </c>
      <c r="AJ1154" s="1">
        <v>2018</v>
      </c>
      <c r="AK1154" s="1" t="s">
        <v>46</v>
      </c>
      <c r="AL1154" s="1">
        <v>39</v>
      </c>
    </row>
    <row r="1155" spans="1:38" x14ac:dyDescent="0.2">
      <c r="A1155" s="2" t="str">
        <f>HYPERLINK("https://www.compass.com/listing/269-west-87th-street-unit-9c-manhattan-ny-10024/29514398435412385/","269 W 87th St, Unit 9C")</f>
        <v>269 W 87th St, Unit 9C</v>
      </c>
      <c r="B1155" s="2" t="str">
        <f t="shared" si="207"/>
        <v>West End and Eighty Seven</v>
      </c>
      <c r="C1155" s="1" t="s">
        <v>47</v>
      </c>
      <c r="D1155" s="1" t="s">
        <v>41</v>
      </c>
      <c r="E1155" s="3">
        <v>2424088</v>
      </c>
      <c r="F1155" s="1">
        <v>1724.1024182076801</v>
      </c>
      <c r="G1155" s="1">
        <v>5</v>
      </c>
      <c r="H1155" s="1">
        <v>2</v>
      </c>
      <c r="I1155" s="1">
        <v>3</v>
      </c>
      <c r="J1155" s="1">
        <v>2.5</v>
      </c>
      <c r="K1155" s="1">
        <v>2</v>
      </c>
      <c r="L1155" s="1">
        <v>1</v>
      </c>
      <c r="M1155" s="4">
        <v>1406</v>
      </c>
      <c r="N1155" s="1">
        <v>4091</v>
      </c>
      <c r="O1155" s="1">
        <v>4091</v>
      </c>
      <c r="Q1155" s="1" t="s">
        <v>870</v>
      </c>
      <c r="S1155" s="1" t="s">
        <v>870</v>
      </c>
      <c r="T1155" s="1" t="s">
        <v>203</v>
      </c>
      <c r="V1155" s="5">
        <v>44392</v>
      </c>
      <c r="W1155" s="5">
        <v>43266</v>
      </c>
      <c r="X1155" s="1">
        <v>2625000</v>
      </c>
      <c r="Y1155" s="1">
        <v>2760000</v>
      </c>
      <c r="Z1155" s="5">
        <v>43266</v>
      </c>
      <c r="AA1155" s="1">
        <v>2424088</v>
      </c>
      <c r="AB1155" s="1" t="s">
        <v>894</v>
      </c>
      <c r="AC1155" s="5">
        <v>43565</v>
      </c>
      <c r="AF1155" s="1">
        <v>10024</v>
      </c>
      <c r="AI1155" s="1" t="s">
        <v>895</v>
      </c>
      <c r="AJ1155" s="1">
        <v>2018</v>
      </c>
      <c r="AK1155" s="1" t="s">
        <v>50</v>
      </c>
      <c r="AL1155" s="1">
        <v>39</v>
      </c>
    </row>
    <row r="1156" spans="1:38" x14ac:dyDescent="0.2">
      <c r="A1156" s="2" t="str">
        <f>HYPERLINK("https://www.compass.com/listing/269-west-87th-street-unit-8c-manhattan-ny-10024/29514398729055521/","269 W 87th St, Unit 8C")</f>
        <v>269 W 87th St, Unit 8C</v>
      </c>
      <c r="B1156" s="2" t="str">
        <f t="shared" si="207"/>
        <v>West End and Eighty Seven</v>
      </c>
      <c r="C1156" s="1" t="s">
        <v>47</v>
      </c>
      <c r="D1156" s="1" t="s">
        <v>41</v>
      </c>
      <c r="E1156" s="3">
        <v>2372575</v>
      </c>
      <c r="F1156" s="1">
        <v>1694.69642857142</v>
      </c>
      <c r="G1156" s="1">
        <v>5</v>
      </c>
      <c r="H1156" s="1">
        <v>2</v>
      </c>
      <c r="I1156" s="1">
        <v>3</v>
      </c>
      <c r="J1156" s="1">
        <v>2.5</v>
      </c>
      <c r="K1156" s="1">
        <v>2</v>
      </c>
      <c r="L1156" s="1">
        <v>1</v>
      </c>
      <c r="M1156" s="4">
        <v>1400</v>
      </c>
      <c r="N1156" s="1">
        <v>4091</v>
      </c>
      <c r="O1156" s="1">
        <v>4091</v>
      </c>
      <c r="Q1156" s="1" t="s">
        <v>870</v>
      </c>
      <c r="S1156" s="1" t="s">
        <v>870</v>
      </c>
      <c r="T1156" s="1" t="s">
        <v>203</v>
      </c>
      <c r="V1156" s="5">
        <v>43756</v>
      </c>
      <c r="W1156" s="5">
        <v>43265</v>
      </c>
      <c r="X1156" s="1">
        <v>2550000</v>
      </c>
      <c r="Y1156" s="1">
        <v>2680000</v>
      </c>
      <c r="Z1156" s="5">
        <v>43266</v>
      </c>
      <c r="AA1156" s="1">
        <v>2372575</v>
      </c>
      <c r="AB1156" s="1" t="s">
        <v>896</v>
      </c>
      <c r="AC1156" s="5">
        <v>43564</v>
      </c>
      <c r="AF1156" s="1">
        <v>10024</v>
      </c>
      <c r="AI1156" s="1" t="s">
        <v>67</v>
      </c>
      <c r="AJ1156" s="1">
        <v>2018</v>
      </c>
      <c r="AK1156" s="1" t="s">
        <v>46</v>
      </c>
      <c r="AL1156" s="1">
        <v>39</v>
      </c>
    </row>
    <row r="1157" spans="1:38" x14ac:dyDescent="0.2">
      <c r="A1157" s="2" t="str">
        <f>HYPERLINK("https://www.compass.com/listing/269-west-87th-street-unit-6c-manhattan-ny-10024/29514399786020161/","269 W 87th St, Unit 6C")</f>
        <v>269 W 87th St, Unit 6C</v>
      </c>
      <c r="B1157" s="2" t="str">
        <f t="shared" si="207"/>
        <v>West End and Eighty Seven</v>
      </c>
      <c r="C1157" s="1" t="s">
        <v>47</v>
      </c>
      <c r="D1157" s="1" t="s">
        <v>41</v>
      </c>
      <c r="E1157" s="3">
        <v>2400000</v>
      </c>
      <c r="F1157" s="1">
        <v>1706.97012802275</v>
      </c>
      <c r="G1157" s="1">
        <v>5</v>
      </c>
      <c r="H1157" s="1">
        <v>2</v>
      </c>
      <c r="I1157" s="1">
        <v>3</v>
      </c>
      <c r="J1157" s="1">
        <v>2.5</v>
      </c>
      <c r="K1157" s="1">
        <v>2</v>
      </c>
      <c r="L1157" s="1">
        <v>1</v>
      </c>
      <c r="M1157" s="4">
        <v>1406</v>
      </c>
      <c r="N1157" s="1">
        <v>4091</v>
      </c>
      <c r="O1157" s="1">
        <v>4091</v>
      </c>
      <c r="Q1157" s="1" t="s">
        <v>870</v>
      </c>
      <c r="S1157" s="1" t="s">
        <v>870</v>
      </c>
      <c r="T1157" s="1" t="s">
        <v>203</v>
      </c>
      <c r="U1157" s="1">
        <v>38</v>
      </c>
      <c r="V1157" s="5">
        <v>44225</v>
      </c>
      <c r="W1157" s="5">
        <v>43228</v>
      </c>
      <c r="Y1157" s="1">
        <v>2575000</v>
      </c>
      <c r="Z1157" s="5">
        <v>43267</v>
      </c>
      <c r="AA1157" s="1">
        <v>2400000</v>
      </c>
      <c r="AB1157" s="1" t="s">
        <v>897</v>
      </c>
      <c r="AC1157" s="5">
        <v>43552</v>
      </c>
      <c r="AF1157" s="1">
        <v>10024</v>
      </c>
      <c r="AI1157" s="1" t="s">
        <v>67</v>
      </c>
      <c r="AJ1157" s="1">
        <v>2018</v>
      </c>
      <c r="AK1157" s="1" t="s">
        <v>46</v>
      </c>
      <c r="AL1157" s="1">
        <v>39</v>
      </c>
    </row>
    <row r="1158" spans="1:38" x14ac:dyDescent="0.2">
      <c r="A1158" s="2" t="str">
        <f>HYPERLINK("https://www.compass.com/listing/269-west-87th-street-unit-7c-manhattan-ny-10024/29514402671624945/","269 W 87th St, Unit 7C")</f>
        <v>269 W 87th St, Unit 7C</v>
      </c>
      <c r="B1158" s="2" t="str">
        <f t="shared" si="207"/>
        <v>West End and Eighty Seven</v>
      </c>
      <c r="C1158" s="1" t="s">
        <v>47</v>
      </c>
      <c r="D1158" s="1" t="s">
        <v>41</v>
      </c>
      <c r="E1158" s="3">
        <v>2321063</v>
      </c>
      <c r="F1158" s="1">
        <v>1657.90214285714</v>
      </c>
      <c r="G1158" s="1">
        <v>5</v>
      </c>
      <c r="H1158" s="1">
        <v>2</v>
      </c>
      <c r="I1158" s="1">
        <v>3</v>
      </c>
      <c r="J1158" s="1">
        <v>2.5</v>
      </c>
      <c r="K1158" s="1">
        <v>2</v>
      </c>
      <c r="L1158" s="1">
        <v>1</v>
      </c>
      <c r="M1158" s="4">
        <v>1400</v>
      </c>
      <c r="N1158" s="1">
        <v>4091</v>
      </c>
      <c r="O1158" s="1">
        <v>4091</v>
      </c>
      <c r="Q1158" s="1" t="s">
        <v>870</v>
      </c>
      <c r="S1158" s="1" t="s">
        <v>870</v>
      </c>
      <c r="T1158" s="1" t="s">
        <v>203</v>
      </c>
      <c r="V1158" s="5">
        <v>43756</v>
      </c>
      <c r="W1158" s="5">
        <v>43266</v>
      </c>
      <c r="X1158" s="1">
        <v>2500000</v>
      </c>
      <c r="Y1158" s="1">
        <v>2625000</v>
      </c>
      <c r="Z1158" s="5">
        <v>43266</v>
      </c>
      <c r="AA1158" s="1">
        <v>2321063</v>
      </c>
      <c r="AB1158" s="1" t="s">
        <v>898</v>
      </c>
      <c r="AC1158" s="5">
        <v>43565</v>
      </c>
      <c r="AF1158" s="1">
        <v>10024</v>
      </c>
      <c r="AI1158" s="1" t="s">
        <v>895</v>
      </c>
      <c r="AJ1158" s="1">
        <v>2018</v>
      </c>
      <c r="AK1158" s="1" t="s">
        <v>46</v>
      </c>
      <c r="AL1158" s="1">
        <v>39</v>
      </c>
    </row>
    <row r="1159" spans="1:38" x14ac:dyDescent="0.2">
      <c r="A1159" s="2" t="str">
        <f>HYPERLINK("https://www.compass.com/listing/111-leroy-street-unit-3a-manhattan-ny-10014/774708548670305361/","111 Leroy St, Unit 3A")</f>
        <v>111 Leroy St, Unit 3A</v>
      </c>
      <c r="B1159" s="2" t="str">
        <f>HYPERLINK("https://www.compass.com/building/111-leroy-st-manhattan-ny-10014/281921905882074869/","111 Leroy St")</f>
        <v>111 Leroy St</v>
      </c>
      <c r="C1159" s="1" t="s">
        <v>68</v>
      </c>
      <c r="D1159" s="1" t="s">
        <v>41</v>
      </c>
      <c r="E1159" s="3">
        <v>1150000</v>
      </c>
      <c r="F1159" s="1">
        <v>2094.7176684881601</v>
      </c>
      <c r="G1159" s="1">
        <v>1</v>
      </c>
      <c r="H1159" s="1" t="s">
        <v>77</v>
      </c>
      <c r="I1159" s="1">
        <v>1</v>
      </c>
      <c r="J1159" s="1">
        <v>1</v>
      </c>
      <c r="K1159" s="1">
        <v>1</v>
      </c>
      <c r="M1159" s="1">
        <v>549</v>
      </c>
      <c r="N1159" s="1">
        <v>750</v>
      </c>
      <c r="O1159" s="1">
        <v>1389</v>
      </c>
      <c r="P1159" s="1">
        <v>639</v>
      </c>
      <c r="Q1159" s="1" t="s">
        <v>42</v>
      </c>
      <c r="S1159" s="1" t="s">
        <v>42</v>
      </c>
      <c r="T1159" s="1" t="s">
        <v>203</v>
      </c>
      <c r="V1159" s="5">
        <v>44364</v>
      </c>
      <c r="W1159" s="5">
        <v>44320</v>
      </c>
      <c r="X1159" s="1">
        <v>1</v>
      </c>
      <c r="Y1159" s="1">
        <v>1250000</v>
      </c>
      <c r="Z1159" s="5">
        <v>44321</v>
      </c>
      <c r="AA1159" s="1">
        <v>1150000</v>
      </c>
      <c r="AB1159" s="1" t="s">
        <v>899</v>
      </c>
      <c r="AC1159" s="5">
        <v>44351</v>
      </c>
      <c r="AF1159" s="1">
        <v>10014</v>
      </c>
      <c r="AI1159" s="1" t="s">
        <v>76</v>
      </c>
      <c r="AJ1159" s="1">
        <v>2019</v>
      </c>
      <c r="AK1159" s="1" t="s">
        <v>121</v>
      </c>
      <c r="AL1159" s="1">
        <v>13</v>
      </c>
    </row>
    <row r="1160" spans="1:38" x14ac:dyDescent="0.2">
      <c r="A1160" s="2" t="str">
        <f>HYPERLINK("https://www.compass.com/listing/75-kenmare-street-unit-4j-manhattan-ny-10012/29515057822005809/","75 Kenmare St, Unit 4J")</f>
        <v>75 Kenmare St, Unit 4J</v>
      </c>
      <c r="B1160" s="2" t="str">
        <f t="shared" ref="B1160:B1162" si="208">HYPERLINK("https://www.compass.com/building/75-kenmare-street-manhattan-ny/292810164757628581/","75 Kenmare Street")</f>
        <v>75 Kenmare Street</v>
      </c>
      <c r="C1160" s="1" t="s">
        <v>118</v>
      </c>
      <c r="D1160" s="1" t="s">
        <v>41</v>
      </c>
      <c r="E1160" s="3">
        <v>3002147</v>
      </c>
      <c r="F1160" s="1">
        <v>3020.2684909456698</v>
      </c>
      <c r="G1160" s="1">
        <v>4</v>
      </c>
      <c r="H1160" s="1">
        <v>2</v>
      </c>
      <c r="I1160" s="1">
        <v>2</v>
      </c>
      <c r="J1160" s="1">
        <v>2</v>
      </c>
      <c r="K1160" s="1">
        <v>2</v>
      </c>
      <c r="M1160" s="1">
        <v>994</v>
      </c>
      <c r="N1160" s="1">
        <v>1104</v>
      </c>
      <c r="O1160" s="1">
        <v>1971</v>
      </c>
      <c r="P1160" s="1">
        <v>867</v>
      </c>
      <c r="Q1160" s="1" t="s">
        <v>42</v>
      </c>
      <c r="S1160" s="1" t="s">
        <v>42</v>
      </c>
      <c r="T1160" s="1" t="s">
        <v>203</v>
      </c>
      <c r="U1160" s="1">
        <v>119</v>
      </c>
      <c r="V1160" s="5">
        <v>44338</v>
      </c>
      <c r="W1160" s="5">
        <v>42773</v>
      </c>
      <c r="X1160" s="1">
        <v>2975000</v>
      </c>
      <c r="Y1160" s="1">
        <v>2975000</v>
      </c>
      <c r="Z1160" s="5">
        <v>42892</v>
      </c>
      <c r="AA1160" s="1">
        <v>3002146.88</v>
      </c>
      <c r="AB1160" s="1" t="s">
        <v>900</v>
      </c>
      <c r="AC1160" s="5">
        <v>43910</v>
      </c>
      <c r="AF1160" s="1">
        <v>10012</v>
      </c>
      <c r="AI1160" s="1" t="s">
        <v>76</v>
      </c>
      <c r="AJ1160" s="1">
        <v>2017</v>
      </c>
      <c r="AK1160" s="1" t="s">
        <v>121</v>
      </c>
      <c r="AL1160" s="1">
        <v>38</v>
      </c>
    </row>
    <row r="1161" spans="1:38" x14ac:dyDescent="0.2">
      <c r="A1161" s="2" t="str">
        <f>HYPERLINK("https://www.compass.com/listing/75-kenmare-street-unit-3e-manhattan-ny-10012/201214214315040609/","75 Kenmare St, Unit 3E")</f>
        <v>75 Kenmare St, Unit 3E</v>
      </c>
      <c r="B1161" s="2" t="str">
        <f t="shared" si="208"/>
        <v>75 Kenmare Street</v>
      </c>
      <c r="C1161" s="1" t="s">
        <v>118</v>
      </c>
      <c r="D1161" s="1" t="s">
        <v>41</v>
      </c>
      <c r="E1161" s="3">
        <v>2540534</v>
      </c>
      <c r="F1161" s="1">
        <v>2488.2798726738401</v>
      </c>
      <c r="G1161" s="1">
        <v>4</v>
      </c>
      <c r="H1161" s="1">
        <v>2</v>
      </c>
      <c r="I1161" s="1">
        <v>2</v>
      </c>
      <c r="J1161" s="1">
        <v>2</v>
      </c>
      <c r="K1161" s="1">
        <v>2</v>
      </c>
      <c r="M1161" s="4">
        <v>1021</v>
      </c>
      <c r="N1161" s="1">
        <v>1133</v>
      </c>
      <c r="O1161" s="1">
        <v>2023</v>
      </c>
      <c r="P1161" s="1">
        <v>890</v>
      </c>
      <c r="Q1161" s="1" t="s">
        <v>42</v>
      </c>
      <c r="S1161" s="1" t="s">
        <v>42</v>
      </c>
      <c r="T1161" s="1" t="s">
        <v>203</v>
      </c>
      <c r="U1161" s="1">
        <v>46</v>
      </c>
      <c r="V1161" s="5">
        <v>44338</v>
      </c>
      <c r="W1161" s="5">
        <v>43483</v>
      </c>
      <c r="X1161" s="1">
        <v>2495000</v>
      </c>
      <c r="Y1161" s="1">
        <v>2495000</v>
      </c>
      <c r="Z1161" s="5">
        <v>43529</v>
      </c>
      <c r="AA1161" s="1">
        <v>2540533.75</v>
      </c>
      <c r="AB1161" s="1" t="s">
        <v>901</v>
      </c>
      <c r="AC1161" s="5">
        <v>43951</v>
      </c>
      <c r="AF1161" s="1">
        <v>10012</v>
      </c>
      <c r="AI1161" s="1" t="s">
        <v>76</v>
      </c>
      <c r="AJ1161" s="1">
        <v>2017</v>
      </c>
      <c r="AK1161" s="1" t="s">
        <v>121</v>
      </c>
      <c r="AL1161" s="1">
        <v>38</v>
      </c>
    </row>
    <row r="1162" spans="1:38" x14ac:dyDescent="0.2">
      <c r="A1162" s="2" t="str">
        <f>HYPERLINK("https://www.compass.com/listing/75-kenmare-street-unit-2c-manhattan-ny-10012/343331680152201297/","75 Kenmare St, Unit 2C")</f>
        <v>75 Kenmare St, Unit 2C</v>
      </c>
      <c r="B1162" s="2" t="str">
        <f t="shared" si="208"/>
        <v>75 Kenmare Street</v>
      </c>
      <c r="C1162" s="1" t="s">
        <v>118</v>
      </c>
      <c r="D1162" s="1" t="s">
        <v>41</v>
      </c>
      <c r="E1162" s="3">
        <v>1713961</v>
      </c>
      <c r="F1162" s="1">
        <v>2487.6070391872199</v>
      </c>
      <c r="G1162" s="1">
        <v>3</v>
      </c>
      <c r="H1162" s="1">
        <v>1</v>
      </c>
      <c r="I1162" s="1">
        <v>1</v>
      </c>
      <c r="J1162" s="1">
        <v>1</v>
      </c>
      <c r="K1162" s="1">
        <v>1</v>
      </c>
      <c r="M1162" s="1">
        <v>689</v>
      </c>
      <c r="N1162" s="1">
        <v>750</v>
      </c>
      <c r="O1162" s="1">
        <v>1451</v>
      </c>
      <c r="P1162" s="1">
        <v>701</v>
      </c>
      <c r="Q1162" s="1" t="s">
        <v>42</v>
      </c>
      <c r="S1162" s="1" t="s">
        <v>42</v>
      </c>
      <c r="T1162" s="1" t="s">
        <v>203</v>
      </c>
      <c r="U1162" s="1">
        <v>705</v>
      </c>
      <c r="V1162" s="5">
        <v>44338</v>
      </c>
      <c r="W1162" s="5">
        <v>43355</v>
      </c>
      <c r="X1162" s="1">
        <v>1750000</v>
      </c>
      <c r="Y1162" s="1">
        <v>1600000</v>
      </c>
      <c r="Z1162" s="5">
        <v>44155</v>
      </c>
      <c r="AA1162" s="1">
        <v>1713961.25</v>
      </c>
      <c r="AB1162" s="1" t="s">
        <v>902</v>
      </c>
      <c r="AC1162" s="5">
        <v>44169</v>
      </c>
      <c r="AF1162" s="1">
        <v>10012</v>
      </c>
      <c r="AI1162" s="1" t="s">
        <v>76</v>
      </c>
      <c r="AJ1162" s="1">
        <v>2017</v>
      </c>
      <c r="AK1162" s="1" t="s">
        <v>121</v>
      </c>
      <c r="AL1162" s="1">
        <v>38</v>
      </c>
    </row>
    <row r="1163" spans="1:38" x14ac:dyDescent="0.2">
      <c r="A1163" s="2" t="str">
        <f>HYPERLINK("https://www.compass.com/listing/225-west-86th-street-unit-711-manhattan-ny-10024/29508821974040321/","225 W 86th St, Unit 711")</f>
        <v>225 W 86th St, Unit 711</v>
      </c>
      <c r="B1163" s="2" t="str">
        <f>HYPERLINK("https://www.compass.com/building/the-belnord-manhattan-ny/292869672083214101/","The Belnord")</f>
        <v>The Belnord</v>
      </c>
      <c r="C1163" s="1" t="s">
        <v>47</v>
      </c>
      <c r="D1163" s="1" t="s">
        <v>41</v>
      </c>
      <c r="E1163" s="3">
        <v>7000000</v>
      </c>
      <c r="F1163" s="1">
        <v>2237.13646532438</v>
      </c>
      <c r="G1163" s="1">
        <v>6</v>
      </c>
      <c r="H1163" s="1">
        <v>4</v>
      </c>
      <c r="I1163" s="1">
        <v>5</v>
      </c>
      <c r="J1163" s="1">
        <v>5</v>
      </c>
      <c r="K1163" s="1">
        <v>5</v>
      </c>
      <c r="M1163" s="4">
        <v>3129</v>
      </c>
      <c r="N1163" s="1">
        <v>2702</v>
      </c>
      <c r="O1163" s="1">
        <v>6917</v>
      </c>
      <c r="P1163" s="1">
        <v>4215</v>
      </c>
      <c r="Q1163" s="1" t="s">
        <v>42</v>
      </c>
      <c r="S1163" s="1" t="s">
        <v>42</v>
      </c>
      <c r="T1163" s="1" t="s">
        <v>203</v>
      </c>
      <c r="V1163" s="5">
        <v>44225</v>
      </c>
      <c r="W1163" s="5">
        <v>43286</v>
      </c>
      <c r="X1163" s="1">
        <v>8625000</v>
      </c>
      <c r="Y1163" s="1">
        <v>8625000</v>
      </c>
      <c r="Z1163" s="5">
        <v>43287</v>
      </c>
      <c r="AA1163" s="1">
        <v>7000000</v>
      </c>
      <c r="AB1163" s="1" t="s">
        <v>204</v>
      </c>
      <c r="AC1163" s="5">
        <v>43881</v>
      </c>
      <c r="AF1163" s="1">
        <v>10024</v>
      </c>
      <c r="AI1163" s="1" t="s">
        <v>86</v>
      </c>
      <c r="AJ1163" s="1">
        <v>1908</v>
      </c>
      <c r="AK1163" s="1" t="s">
        <v>50</v>
      </c>
      <c r="AL1163" s="1">
        <v>213</v>
      </c>
    </row>
    <row r="1164" spans="1:38" x14ac:dyDescent="0.2">
      <c r="A1164" s="2" t="str">
        <f>HYPERLINK("https://www.compass.com/listing/175-west-95th-street-unit-10a-manhattan-ny-10025/293397219443284529/","175 W 95th St, Unit 10A")</f>
        <v>175 W 95th St, Unit 10A</v>
      </c>
      <c r="B1164" s="2" t="str">
        <f t="shared" ref="B1164:B1165" si="209">HYPERLINK("https://www.compass.com/building/175-w-95th-manhattan-ny/292876785429866517/","175 W 95th")</f>
        <v>175 W 95th</v>
      </c>
      <c r="C1164" s="1" t="s">
        <v>47</v>
      </c>
      <c r="D1164" s="1" t="s">
        <v>41</v>
      </c>
      <c r="E1164" s="3">
        <v>974678</v>
      </c>
      <c r="F1164" s="1">
        <v>1518.1900311526399</v>
      </c>
      <c r="G1164" s="1">
        <v>3</v>
      </c>
      <c r="H1164" s="1">
        <v>1</v>
      </c>
      <c r="I1164" s="1">
        <v>1</v>
      </c>
      <c r="J1164" s="1">
        <v>1</v>
      </c>
      <c r="M1164" s="1">
        <v>642</v>
      </c>
      <c r="Q1164" s="1" t="s">
        <v>42</v>
      </c>
      <c r="S1164" s="1" t="s">
        <v>42</v>
      </c>
      <c r="T1164" s="1" t="s">
        <v>203</v>
      </c>
      <c r="U1164" s="1">
        <v>95</v>
      </c>
      <c r="V1164" s="5">
        <v>43703</v>
      </c>
      <c r="W1164" s="5">
        <v>42294</v>
      </c>
      <c r="X1164" s="1">
        <v>955000</v>
      </c>
      <c r="Y1164" s="1">
        <v>955000</v>
      </c>
      <c r="Z1164" s="5">
        <v>42430</v>
      </c>
      <c r="AA1164" s="1">
        <v>974678</v>
      </c>
      <c r="AB1164" s="1" t="s">
        <v>903</v>
      </c>
      <c r="AC1164" s="5">
        <v>42480</v>
      </c>
      <c r="AF1164" s="1">
        <v>10025</v>
      </c>
      <c r="AI1164" s="1" t="s">
        <v>51</v>
      </c>
      <c r="AJ1164" s="1">
        <v>1971</v>
      </c>
      <c r="AK1164" s="1" t="s">
        <v>50</v>
      </c>
      <c r="AL1164" s="1">
        <v>226</v>
      </c>
    </row>
    <row r="1165" spans="1:38" x14ac:dyDescent="0.2">
      <c r="A1165" s="2" t="str">
        <f>HYPERLINK("https://www.compass.com/listing/175-west-95th-street-unit-25a-manhattan-ny-10025/29400338180206913/","175 W 95th St, Unit 25A")</f>
        <v>175 W 95th St, Unit 25A</v>
      </c>
      <c r="B1165" s="2" t="str">
        <f t="shared" si="209"/>
        <v>175 W 95th</v>
      </c>
      <c r="C1165" s="1" t="s">
        <v>47</v>
      </c>
      <c r="D1165" s="1" t="s">
        <v>41</v>
      </c>
      <c r="E1165" s="3">
        <v>1043706</v>
      </c>
      <c r="F1165" s="1">
        <v>1625.7102803738301</v>
      </c>
      <c r="G1165" s="1">
        <v>3</v>
      </c>
      <c r="H1165" s="1">
        <v>1</v>
      </c>
      <c r="I1165" s="1">
        <v>1</v>
      </c>
      <c r="J1165" s="1">
        <v>1</v>
      </c>
      <c r="M1165" s="1">
        <v>642</v>
      </c>
      <c r="Q1165" s="1" t="s">
        <v>42</v>
      </c>
      <c r="S1165" s="1" t="s">
        <v>42</v>
      </c>
      <c r="T1165" s="1" t="s">
        <v>203</v>
      </c>
      <c r="U1165" s="1">
        <v>70</v>
      </c>
      <c r="V1165" s="5">
        <v>43703</v>
      </c>
      <c r="W1165" s="5">
        <v>42231</v>
      </c>
      <c r="X1165" s="1">
        <v>1025000</v>
      </c>
      <c r="Y1165" s="1">
        <v>1025000</v>
      </c>
      <c r="Z1165" s="5">
        <v>42301</v>
      </c>
      <c r="AA1165" s="1">
        <v>1043706</v>
      </c>
      <c r="AB1165" s="1" t="s">
        <v>904</v>
      </c>
      <c r="AC1165" s="5">
        <v>42362</v>
      </c>
      <c r="AF1165" s="1">
        <v>10025</v>
      </c>
      <c r="AI1165" s="1" t="s">
        <v>49</v>
      </c>
      <c r="AJ1165" s="1">
        <v>1971</v>
      </c>
      <c r="AK1165" s="1" t="s">
        <v>50</v>
      </c>
      <c r="AL1165" s="1">
        <v>226</v>
      </c>
    </row>
    <row r="1166" spans="1:38" x14ac:dyDescent="0.2">
      <c r="A1166" s="2" t="str">
        <f>HYPERLINK("https://www.compass.com/listing/225-west-86th-street-unit-805-manhattan-ny-10024/214430861280525889/","225 W 86th St, Unit 805")</f>
        <v>225 W 86th St, Unit 805</v>
      </c>
      <c r="B1166" s="2" t="str">
        <f>HYPERLINK("https://www.compass.com/building/the-belnord-manhattan-ny/292869672083214101/","The Belnord")</f>
        <v>The Belnord</v>
      </c>
      <c r="C1166" s="1" t="s">
        <v>47</v>
      </c>
      <c r="D1166" s="1" t="s">
        <v>41</v>
      </c>
      <c r="E1166" s="3">
        <v>4852305</v>
      </c>
      <c r="F1166" s="1">
        <v>1884.3902912621299</v>
      </c>
      <c r="G1166" s="1">
        <v>7</v>
      </c>
      <c r="H1166" s="1">
        <v>3</v>
      </c>
      <c r="I1166" s="1">
        <v>4</v>
      </c>
      <c r="J1166" s="1">
        <v>3.5</v>
      </c>
      <c r="K1166" s="1">
        <v>3</v>
      </c>
      <c r="L1166" s="1">
        <v>1</v>
      </c>
      <c r="M1166" s="4">
        <v>2575</v>
      </c>
      <c r="N1166" s="1">
        <v>2235</v>
      </c>
      <c r="O1166" s="1">
        <v>5721</v>
      </c>
      <c r="P1166" s="1">
        <v>3486</v>
      </c>
      <c r="Q1166" s="1" t="s">
        <v>42</v>
      </c>
      <c r="S1166" s="1" t="s">
        <v>42</v>
      </c>
      <c r="T1166" s="1" t="s">
        <v>203</v>
      </c>
      <c r="V1166" s="5">
        <v>43663</v>
      </c>
      <c r="AA1166" s="1">
        <v>4852305</v>
      </c>
      <c r="AB1166" s="1" t="s">
        <v>204</v>
      </c>
      <c r="AC1166" s="5">
        <v>43517</v>
      </c>
      <c r="AF1166" s="1">
        <v>10024</v>
      </c>
      <c r="AI1166" s="1" t="s">
        <v>67</v>
      </c>
      <c r="AJ1166" s="1">
        <v>1908</v>
      </c>
      <c r="AK1166" s="1" t="s">
        <v>81</v>
      </c>
      <c r="AL1166" s="1">
        <v>213</v>
      </c>
    </row>
    <row r="1167" spans="1:38" x14ac:dyDescent="0.2">
      <c r="A1167" s="2" t="str">
        <f>HYPERLINK("https://www.compass.com/listing/75-kenmare-street-unit-3a-manhattan-ny-10012/803308866720898937/","75 Kenmare St, Unit 3A")</f>
        <v>75 Kenmare St, Unit 3A</v>
      </c>
      <c r="B1167" s="2" t="str">
        <f>HYPERLINK("https://www.compass.com/building/75-kenmare-street-manhattan-ny/292810164757628581/","75 Kenmare Street")</f>
        <v>75 Kenmare Street</v>
      </c>
      <c r="C1167" s="1" t="s">
        <v>118</v>
      </c>
      <c r="D1167" s="1" t="s">
        <v>41</v>
      </c>
      <c r="E1167" s="3">
        <v>1750000</v>
      </c>
      <c r="F1167" s="1">
        <v>2182.0448877805402</v>
      </c>
      <c r="G1167" s="1">
        <v>3</v>
      </c>
      <c r="H1167" s="1">
        <v>1</v>
      </c>
      <c r="I1167" s="1">
        <v>1</v>
      </c>
      <c r="J1167" s="1">
        <v>1</v>
      </c>
      <c r="K1167" s="1">
        <v>1</v>
      </c>
      <c r="M1167" s="1">
        <v>802</v>
      </c>
      <c r="N1167" s="1">
        <v>890</v>
      </c>
      <c r="O1167" s="1">
        <v>1589</v>
      </c>
      <c r="P1167" s="1">
        <v>699</v>
      </c>
      <c r="Q1167" s="1" t="s">
        <v>42</v>
      </c>
      <c r="S1167" s="1" t="s">
        <v>42</v>
      </c>
      <c r="T1167" s="1" t="s">
        <v>203</v>
      </c>
      <c r="U1167" s="1">
        <v>5</v>
      </c>
      <c r="V1167" s="5">
        <v>44369</v>
      </c>
      <c r="W1167" s="5">
        <v>44308</v>
      </c>
      <c r="Y1167" s="1">
        <v>1950000</v>
      </c>
      <c r="Z1167" s="5">
        <v>44314</v>
      </c>
      <c r="AA1167" s="1">
        <v>1750000</v>
      </c>
      <c r="AB1167" s="1" t="s">
        <v>855</v>
      </c>
      <c r="AC1167" s="5">
        <v>44343</v>
      </c>
      <c r="AF1167" s="1">
        <v>10012</v>
      </c>
      <c r="AI1167" s="1" t="s">
        <v>76</v>
      </c>
      <c r="AJ1167" s="1">
        <v>2017</v>
      </c>
      <c r="AK1167" s="1" t="s">
        <v>121</v>
      </c>
      <c r="AL1167" s="1">
        <v>38</v>
      </c>
    </row>
    <row r="1168" spans="1:38" x14ac:dyDescent="0.2">
      <c r="A1168" s="2" t="str">
        <f>HYPERLINK("https://www.compass.com/listing/225-west-86th-street-unit-1006-manhattan-ny-10024/107144419911730577/","225 W 86th St, Unit 1006")</f>
        <v>225 W 86th St, Unit 1006</v>
      </c>
      <c r="B1168" s="2" t="str">
        <f>HYPERLINK("https://www.compass.com/building/the-belnord-manhattan-ny/292869672083214101/","The Belnord")</f>
        <v>The Belnord</v>
      </c>
      <c r="C1168" s="1" t="s">
        <v>47</v>
      </c>
      <c r="D1168" s="1" t="s">
        <v>41</v>
      </c>
      <c r="E1168" s="3">
        <v>5552671</v>
      </c>
      <c r="F1168" s="1">
        <v>2168.1651698555202</v>
      </c>
      <c r="G1168" s="1">
        <v>7</v>
      </c>
      <c r="H1168" s="1">
        <v>3</v>
      </c>
      <c r="I1168" s="1">
        <v>4</v>
      </c>
      <c r="J1168" s="1">
        <v>4</v>
      </c>
      <c r="K1168" s="1">
        <v>4</v>
      </c>
      <c r="M1168" s="4">
        <v>2561</v>
      </c>
      <c r="N1168" s="1">
        <v>2233</v>
      </c>
      <c r="O1168" s="1">
        <v>5717</v>
      </c>
      <c r="P1168" s="1">
        <v>3484</v>
      </c>
      <c r="Q1168" s="1" t="s">
        <v>42</v>
      </c>
      <c r="S1168" s="1" t="s">
        <v>42</v>
      </c>
      <c r="T1168" s="1" t="s">
        <v>203</v>
      </c>
      <c r="U1168" s="1">
        <v>10</v>
      </c>
      <c r="V1168" s="5">
        <v>43694</v>
      </c>
      <c r="W1168" s="5">
        <v>43390</v>
      </c>
      <c r="X1168" s="1">
        <v>7240000</v>
      </c>
      <c r="Y1168" s="1">
        <v>7240000</v>
      </c>
      <c r="Z1168" s="5">
        <v>43400</v>
      </c>
      <c r="AA1168" s="1">
        <v>5552671</v>
      </c>
      <c r="AB1168" s="1" t="s">
        <v>204</v>
      </c>
      <c r="AC1168" s="5">
        <v>43635</v>
      </c>
      <c r="AF1168" s="1">
        <v>10024</v>
      </c>
      <c r="AI1168" s="1" t="s">
        <v>67</v>
      </c>
      <c r="AJ1168" s="1">
        <v>1908</v>
      </c>
      <c r="AK1168" s="1" t="s">
        <v>81</v>
      </c>
      <c r="AL1168" s="1">
        <v>213</v>
      </c>
    </row>
    <row r="1169" spans="1:38" x14ac:dyDescent="0.2">
      <c r="A1169" s="2" t="str">
        <f>HYPERLINK("https://www.compass.com/listing/275-west-10th-street-unit-phb-manhattan-ny-10014/556963810005625561/","275 W 10th St, Unit PHB")</f>
        <v>275 W 10th St, Unit PHB</v>
      </c>
      <c r="B1169" s="2" t="str">
        <f t="shared" ref="B1169:B1171" si="210">HYPERLINK("https://www.compass.com/building/the-shephard-manhattan-ny/281931968864632917/","The Shephard")</f>
        <v>The Shephard</v>
      </c>
      <c r="C1169" s="1" t="s">
        <v>68</v>
      </c>
      <c r="D1169" s="1" t="s">
        <v>41</v>
      </c>
      <c r="E1169" s="3">
        <v>19025000</v>
      </c>
      <c r="F1169" s="1">
        <v>3994.3313038001202</v>
      </c>
      <c r="H1169" s="1">
        <v>4</v>
      </c>
      <c r="J1169" s="1">
        <v>5</v>
      </c>
      <c r="K1169" s="1">
        <v>4</v>
      </c>
      <c r="L1169" s="1">
        <v>2</v>
      </c>
      <c r="M1169" s="4">
        <v>4763</v>
      </c>
      <c r="N1169" s="1">
        <v>5055</v>
      </c>
      <c r="O1169" s="1">
        <v>11675</v>
      </c>
      <c r="P1169" s="1">
        <v>6620</v>
      </c>
      <c r="Q1169" s="1" t="s">
        <v>42</v>
      </c>
      <c r="S1169" s="1" t="s">
        <v>42</v>
      </c>
      <c r="T1169" s="1" t="s">
        <v>203</v>
      </c>
      <c r="AA1169" s="1">
        <v>19025000</v>
      </c>
      <c r="AB1169" s="1" t="s">
        <v>905</v>
      </c>
      <c r="AC1169" s="5">
        <v>44007</v>
      </c>
      <c r="AF1169" s="1">
        <v>10014</v>
      </c>
      <c r="AI1169" s="1" t="s">
        <v>67</v>
      </c>
      <c r="AJ1169" s="1">
        <v>2015</v>
      </c>
      <c r="AK1169" s="1" t="s">
        <v>55</v>
      </c>
      <c r="AL1169" s="1">
        <v>38</v>
      </c>
    </row>
    <row r="1170" spans="1:38" x14ac:dyDescent="0.2">
      <c r="A1170" s="2" t="str">
        <f>HYPERLINK("https://www.compass.com/listing/275-west-10th-street-unit-6a-manhattan-ny-10014/805521557896823217/","275 W 10th St, Unit 6A")</f>
        <v>275 W 10th St, Unit 6A</v>
      </c>
      <c r="B1170" s="2" t="str">
        <f t="shared" si="210"/>
        <v>The Shephard</v>
      </c>
      <c r="C1170" s="1" t="s">
        <v>68</v>
      </c>
      <c r="D1170" s="1" t="s">
        <v>41</v>
      </c>
      <c r="E1170" s="3">
        <v>3000000</v>
      </c>
      <c r="F1170" s="1">
        <v>1023.19236016371</v>
      </c>
      <c r="H1170" s="1">
        <v>4</v>
      </c>
      <c r="J1170" s="1">
        <v>4.5</v>
      </c>
      <c r="M1170" s="4">
        <v>2932</v>
      </c>
      <c r="N1170" s="1">
        <v>2694</v>
      </c>
      <c r="O1170" s="1">
        <v>6223</v>
      </c>
      <c r="P1170" s="1">
        <v>3529</v>
      </c>
      <c r="Q1170" s="1" t="s">
        <v>42</v>
      </c>
      <c r="S1170" s="1" t="s">
        <v>42</v>
      </c>
      <c r="T1170" s="1" t="s">
        <v>203</v>
      </c>
      <c r="AA1170" s="1">
        <v>3000000</v>
      </c>
      <c r="AB1170" s="1" t="s">
        <v>906</v>
      </c>
      <c r="AC1170" s="5">
        <v>44191</v>
      </c>
      <c r="AF1170" s="1">
        <v>10014</v>
      </c>
      <c r="AI1170" s="1" t="s">
        <v>67</v>
      </c>
      <c r="AJ1170" s="1">
        <v>2015</v>
      </c>
      <c r="AK1170" s="1" t="s">
        <v>55</v>
      </c>
      <c r="AL1170" s="1">
        <v>38</v>
      </c>
    </row>
    <row r="1171" spans="1:38" x14ac:dyDescent="0.2">
      <c r="A1171" s="2" t="str">
        <f>HYPERLINK("https://www.compass.com/listing/275-west-10th-street-unit-6a-manhattan-ny-10014/816018186932084201/","275 W 10th St, Unit 6A")</f>
        <v>275 W 10th St, Unit 6A</v>
      </c>
      <c r="B1171" s="2" t="str">
        <f t="shared" si="210"/>
        <v>The Shephard</v>
      </c>
      <c r="C1171" s="1" t="s">
        <v>68</v>
      </c>
      <c r="D1171" s="1" t="s">
        <v>41</v>
      </c>
      <c r="E1171" s="3">
        <v>3000000</v>
      </c>
      <c r="F1171" s="1">
        <v>1023.19236016371</v>
      </c>
      <c r="H1171" s="1">
        <v>4</v>
      </c>
      <c r="J1171" s="1">
        <v>4.5</v>
      </c>
      <c r="M1171" s="4">
        <v>2932</v>
      </c>
      <c r="N1171" s="1">
        <v>2694</v>
      </c>
      <c r="O1171" s="1">
        <v>6223</v>
      </c>
      <c r="P1171" s="1">
        <v>3529</v>
      </c>
      <c r="Q1171" s="1" t="s">
        <v>42</v>
      </c>
      <c r="S1171" s="1" t="s">
        <v>42</v>
      </c>
      <c r="T1171" s="1" t="s">
        <v>203</v>
      </c>
      <c r="AA1171" s="1">
        <v>3000000</v>
      </c>
      <c r="AB1171" s="1" t="s">
        <v>907</v>
      </c>
      <c r="AC1171" s="5">
        <v>44191</v>
      </c>
      <c r="AF1171" s="1">
        <v>10014</v>
      </c>
      <c r="AI1171" s="1" t="s">
        <v>67</v>
      </c>
      <c r="AJ1171" s="1">
        <v>2015</v>
      </c>
      <c r="AK1171" s="1" t="s">
        <v>55</v>
      </c>
      <c r="AL1171" s="1">
        <v>38</v>
      </c>
    </row>
    <row r="1172" spans="1:38" x14ac:dyDescent="0.2">
      <c r="A1172" s="2" t="str">
        <f>HYPERLINK("https://www.compass.com/listing/225-west-86th-street-unit-1102-manhattan-ny-10024/29508822276081057/","225 W 86th St, Unit 1102")</f>
        <v>225 W 86th St, Unit 1102</v>
      </c>
      <c r="B1172" s="2" t="str">
        <f t="shared" ref="B1172:B1174" si="211">HYPERLINK("https://www.compass.com/building/the-belnord-manhattan-ny/292869672083214101/","The Belnord")</f>
        <v>The Belnord</v>
      </c>
      <c r="C1172" s="1" t="s">
        <v>47</v>
      </c>
      <c r="D1172" s="1" t="s">
        <v>41</v>
      </c>
      <c r="E1172" s="3">
        <v>11198672</v>
      </c>
      <c r="F1172" s="1">
        <v>4532.0404694455601</v>
      </c>
      <c r="G1172" s="1">
        <v>7.5</v>
      </c>
      <c r="H1172" s="1">
        <v>3</v>
      </c>
      <c r="I1172" s="1">
        <v>4</v>
      </c>
      <c r="J1172" s="1">
        <v>3.5</v>
      </c>
      <c r="K1172" s="1">
        <v>3</v>
      </c>
      <c r="L1172" s="1">
        <v>1</v>
      </c>
      <c r="M1172" s="4">
        <v>2471</v>
      </c>
      <c r="N1172" s="1">
        <v>2155</v>
      </c>
      <c r="O1172" s="1">
        <v>5516</v>
      </c>
      <c r="P1172" s="1">
        <v>3361</v>
      </c>
      <c r="Q1172" s="1" t="s">
        <v>42</v>
      </c>
      <c r="S1172" s="1" t="s">
        <v>42</v>
      </c>
      <c r="T1172" s="1" t="s">
        <v>203</v>
      </c>
      <c r="V1172" s="5">
        <v>43551</v>
      </c>
      <c r="W1172" s="5">
        <v>43286</v>
      </c>
      <c r="X1172" s="1">
        <v>7200000</v>
      </c>
      <c r="Y1172" s="1">
        <v>7200000</v>
      </c>
      <c r="Z1172" s="5">
        <v>43287</v>
      </c>
      <c r="AA1172" s="1">
        <v>11198672</v>
      </c>
      <c r="AB1172" s="1" t="s">
        <v>204</v>
      </c>
      <c r="AC1172" s="5">
        <v>43550</v>
      </c>
      <c r="AF1172" s="1">
        <v>10024</v>
      </c>
      <c r="AI1172" s="1" t="s">
        <v>67</v>
      </c>
      <c r="AJ1172" s="1">
        <v>1908</v>
      </c>
      <c r="AK1172" s="1" t="s">
        <v>81</v>
      </c>
      <c r="AL1172" s="1">
        <v>213</v>
      </c>
    </row>
    <row r="1173" spans="1:38" x14ac:dyDescent="0.2">
      <c r="A1173" s="2" t="str">
        <f>HYPERLINK("https://www.compass.com/listing/225-west-86th-street-unit-1101-manhattan-ny-10024/29508822619940161/","225 W 86th St, Unit 1101")</f>
        <v>225 W 86th St, Unit 1101</v>
      </c>
      <c r="B1173" s="2" t="str">
        <f t="shared" si="211"/>
        <v>The Belnord</v>
      </c>
      <c r="C1173" s="1" t="s">
        <v>47</v>
      </c>
      <c r="D1173" s="1" t="s">
        <v>41</v>
      </c>
      <c r="E1173" s="3">
        <v>11245232</v>
      </c>
      <c r="F1173" s="1">
        <v>4340.1126978000702</v>
      </c>
      <c r="G1173" s="1">
        <v>7</v>
      </c>
      <c r="H1173" s="1">
        <v>3</v>
      </c>
      <c r="I1173" s="1">
        <v>4</v>
      </c>
      <c r="J1173" s="1">
        <v>4</v>
      </c>
      <c r="K1173" s="1">
        <v>4</v>
      </c>
      <c r="M1173" s="4">
        <v>2591</v>
      </c>
      <c r="N1173" s="1">
        <v>2259</v>
      </c>
      <c r="O1173" s="1">
        <v>5783</v>
      </c>
      <c r="P1173" s="1">
        <v>3524</v>
      </c>
      <c r="Q1173" s="1" t="s">
        <v>42</v>
      </c>
      <c r="S1173" s="1" t="s">
        <v>42</v>
      </c>
      <c r="T1173" s="1" t="s">
        <v>203</v>
      </c>
      <c r="V1173" s="5">
        <v>43635</v>
      </c>
      <c r="W1173" s="5">
        <v>43287</v>
      </c>
      <c r="X1173" s="1">
        <v>7460000</v>
      </c>
      <c r="Y1173" s="1">
        <v>7460000</v>
      </c>
      <c r="Z1173" s="5">
        <v>43287</v>
      </c>
      <c r="AA1173" s="1">
        <v>11245232</v>
      </c>
      <c r="AB1173" s="1" t="s">
        <v>204</v>
      </c>
      <c r="AC1173" s="5">
        <v>43550</v>
      </c>
      <c r="AF1173" s="1">
        <v>10024</v>
      </c>
      <c r="AI1173" s="1" t="s">
        <v>67</v>
      </c>
      <c r="AJ1173" s="1">
        <v>1908</v>
      </c>
      <c r="AK1173" s="1" t="s">
        <v>81</v>
      </c>
      <c r="AL1173" s="1">
        <v>213</v>
      </c>
    </row>
    <row r="1174" spans="1:38" x14ac:dyDescent="0.2">
      <c r="A1174" s="2" t="str">
        <f>HYPERLINK("https://www.compass.com/listing/225-west-86th-street-unit-603-manhattan-ny-10024/120281000382117473/","225 W 86th St, Unit 603")</f>
        <v>225 W 86th St, Unit 603</v>
      </c>
      <c r="B1174" s="2" t="str">
        <f t="shared" si="211"/>
        <v>The Belnord</v>
      </c>
      <c r="C1174" s="1" t="s">
        <v>47</v>
      </c>
      <c r="D1174" s="1" t="s">
        <v>41</v>
      </c>
      <c r="E1174" s="3">
        <v>4870419</v>
      </c>
      <c r="F1174" s="1">
        <v>1559.0329705505701</v>
      </c>
      <c r="G1174" s="1">
        <v>9</v>
      </c>
      <c r="H1174" s="1">
        <v>4</v>
      </c>
      <c r="I1174" s="1">
        <v>5</v>
      </c>
      <c r="J1174" s="1">
        <v>4.5</v>
      </c>
      <c r="K1174" s="1">
        <v>4</v>
      </c>
      <c r="L1174" s="1">
        <v>1</v>
      </c>
      <c r="M1174" s="4">
        <v>3124</v>
      </c>
      <c r="N1174" s="1">
        <v>2685</v>
      </c>
      <c r="O1174" s="1">
        <v>6873</v>
      </c>
      <c r="P1174" s="1">
        <v>4188</v>
      </c>
      <c r="Q1174" s="1" t="s">
        <v>42</v>
      </c>
      <c r="S1174" s="1" t="s">
        <v>42</v>
      </c>
      <c r="T1174" s="1" t="s">
        <v>203</v>
      </c>
      <c r="V1174" s="5">
        <v>43697</v>
      </c>
      <c r="W1174" s="5">
        <v>43418</v>
      </c>
      <c r="X1174" s="1">
        <v>7840000</v>
      </c>
      <c r="Y1174" s="1">
        <v>7840000</v>
      </c>
      <c r="Z1174" s="5">
        <v>43418</v>
      </c>
      <c r="AA1174" s="1">
        <v>4870419</v>
      </c>
      <c r="AB1174" s="1" t="s">
        <v>204</v>
      </c>
      <c r="AC1174" s="5">
        <v>43622</v>
      </c>
      <c r="AF1174" s="1">
        <v>10024</v>
      </c>
      <c r="AI1174" s="1" t="s">
        <v>67</v>
      </c>
      <c r="AJ1174" s="1">
        <v>1908</v>
      </c>
      <c r="AK1174" s="1" t="s">
        <v>81</v>
      </c>
      <c r="AL1174" s="1">
        <v>213</v>
      </c>
    </row>
    <row r="1175" spans="1:38" x14ac:dyDescent="0.2">
      <c r="A1175" s="2" t="str">
        <f>HYPERLINK("https://www.compass.com/listing/75-kenmare-street-unit-2e-manhattan-ny-10012/29515057134071905/","75 Kenmare St, Unit 2E")</f>
        <v>75 Kenmare St, Unit 2E</v>
      </c>
      <c r="B1175" s="2" t="str">
        <f t="shared" ref="B1175:B1179" si="212">HYPERLINK("https://www.compass.com/building/75-kenmare-street-manhattan-ny/292810164757628581/","75 Kenmare Street")</f>
        <v>75 Kenmare Street</v>
      </c>
      <c r="C1175" s="1" t="s">
        <v>118</v>
      </c>
      <c r="D1175" s="1" t="s">
        <v>41</v>
      </c>
      <c r="E1175" s="3">
        <v>1702317</v>
      </c>
      <c r="F1175" s="1">
        <v>2407.8029844412999</v>
      </c>
      <c r="G1175" s="1">
        <v>3</v>
      </c>
      <c r="H1175" s="1">
        <v>1</v>
      </c>
      <c r="I1175" s="1">
        <v>1</v>
      </c>
      <c r="J1175" s="1">
        <v>1</v>
      </c>
      <c r="K1175" s="1">
        <v>1</v>
      </c>
      <c r="M1175" s="1">
        <v>707</v>
      </c>
      <c r="N1175" s="1">
        <v>783</v>
      </c>
      <c r="O1175" s="1">
        <v>1398</v>
      </c>
      <c r="P1175" s="1">
        <v>615</v>
      </c>
      <c r="Q1175" s="1" t="s">
        <v>42</v>
      </c>
      <c r="S1175" s="1" t="s">
        <v>42</v>
      </c>
      <c r="T1175" s="1" t="s">
        <v>203</v>
      </c>
      <c r="U1175" s="1">
        <v>66</v>
      </c>
      <c r="V1175" s="5">
        <v>44338</v>
      </c>
      <c r="W1175" s="5">
        <v>43229</v>
      </c>
      <c r="X1175" s="1">
        <v>1675000</v>
      </c>
      <c r="Y1175" s="1">
        <v>1675000</v>
      </c>
      <c r="Z1175" s="5">
        <v>43295</v>
      </c>
      <c r="AA1175" s="1">
        <v>1702316.71</v>
      </c>
      <c r="AB1175" s="1" t="s">
        <v>908</v>
      </c>
      <c r="AC1175" s="5">
        <v>43881</v>
      </c>
      <c r="AF1175" s="1">
        <v>10012</v>
      </c>
      <c r="AI1175" s="1" t="s">
        <v>76</v>
      </c>
      <c r="AJ1175" s="1">
        <v>2017</v>
      </c>
      <c r="AK1175" s="1" t="s">
        <v>121</v>
      </c>
      <c r="AL1175" s="1">
        <v>38</v>
      </c>
    </row>
    <row r="1176" spans="1:38" x14ac:dyDescent="0.2">
      <c r="A1176" s="2" t="str">
        <f>HYPERLINK("https://www.compass.com/listing/75-kenmare-street-unit-5h-manhattan-ny-10012/29515062561501553/","75 Kenmare St, Unit 5H")</f>
        <v>75 Kenmare St, Unit 5H</v>
      </c>
      <c r="B1176" s="2" t="str">
        <f t="shared" si="212"/>
        <v>75 Kenmare Street</v>
      </c>
      <c r="C1176" s="1" t="s">
        <v>118</v>
      </c>
      <c r="D1176" s="1" t="s">
        <v>41</v>
      </c>
      <c r="E1176" s="3">
        <v>1629200</v>
      </c>
      <c r="F1176" s="1">
        <v>2619.2926045016002</v>
      </c>
      <c r="G1176" s="1">
        <v>3</v>
      </c>
      <c r="H1176" s="1">
        <v>1</v>
      </c>
      <c r="I1176" s="1">
        <v>1</v>
      </c>
      <c r="J1176" s="1">
        <v>1</v>
      </c>
      <c r="K1176" s="1">
        <v>1</v>
      </c>
      <c r="M1176" s="1">
        <v>622</v>
      </c>
      <c r="N1176" s="1">
        <v>691</v>
      </c>
      <c r="O1176" s="1">
        <v>1233</v>
      </c>
      <c r="P1176" s="1">
        <v>542</v>
      </c>
      <c r="Q1176" s="1" t="s">
        <v>42</v>
      </c>
      <c r="S1176" s="1" t="s">
        <v>42</v>
      </c>
      <c r="T1176" s="1" t="s">
        <v>203</v>
      </c>
      <c r="V1176" s="5">
        <v>44338</v>
      </c>
      <c r="W1176" s="5">
        <v>43272</v>
      </c>
      <c r="X1176" s="1">
        <v>1940000</v>
      </c>
      <c r="Y1176" s="1">
        <v>1940000</v>
      </c>
      <c r="Z1176" s="5">
        <v>43272</v>
      </c>
      <c r="AA1176" s="1">
        <v>1629200</v>
      </c>
      <c r="AB1176" s="1" t="s">
        <v>909</v>
      </c>
      <c r="AC1176" s="5">
        <v>43816</v>
      </c>
      <c r="AF1176" s="1">
        <v>10012</v>
      </c>
      <c r="AI1176" s="1" t="s">
        <v>76</v>
      </c>
      <c r="AJ1176" s="1">
        <v>2017</v>
      </c>
      <c r="AK1176" s="1" t="s">
        <v>121</v>
      </c>
      <c r="AL1176" s="1">
        <v>38</v>
      </c>
    </row>
    <row r="1177" spans="1:38" x14ac:dyDescent="0.2">
      <c r="A1177" s="2" t="str">
        <f>HYPERLINK("https://www.compass.com/listing/75-kenmare-street-unit-5a-manhattan-ny-10012/425348085635908257/","75 Kenmare St, Unit 5A")</f>
        <v>75 Kenmare St, Unit 5A</v>
      </c>
      <c r="B1177" s="2" t="str">
        <f t="shared" si="212"/>
        <v>75 Kenmare Street</v>
      </c>
      <c r="C1177" s="1" t="s">
        <v>118</v>
      </c>
      <c r="D1177" s="1" t="s">
        <v>41</v>
      </c>
      <c r="E1177" s="3">
        <v>4100000</v>
      </c>
      <c r="F1177" s="1">
        <v>2468.3925346177002</v>
      </c>
      <c r="G1177" s="1">
        <v>4</v>
      </c>
      <c r="H1177" s="1">
        <v>2</v>
      </c>
      <c r="I1177" s="1">
        <v>3</v>
      </c>
      <c r="J1177" s="1">
        <v>2.5</v>
      </c>
      <c r="K1177" s="1">
        <v>2</v>
      </c>
      <c r="L1177" s="1">
        <v>1</v>
      </c>
      <c r="M1177" s="4">
        <v>1661</v>
      </c>
      <c r="N1177" s="1">
        <v>1810</v>
      </c>
      <c r="O1177" s="1">
        <v>3502</v>
      </c>
      <c r="P1177" s="1">
        <v>1692</v>
      </c>
      <c r="Q1177" s="1" t="s">
        <v>42</v>
      </c>
      <c r="S1177" s="1" t="s">
        <v>42</v>
      </c>
      <c r="T1177" s="1" t="s">
        <v>203</v>
      </c>
      <c r="U1177" s="1">
        <v>300</v>
      </c>
      <c r="V1177" s="5">
        <v>44427</v>
      </c>
      <c r="W1177" s="5">
        <v>43808</v>
      </c>
      <c r="X1177" s="1">
        <v>4795000</v>
      </c>
      <c r="Y1177" s="1">
        <v>4495000</v>
      </c>
      <c r="Z1177" s="5">
        <v>44203</v>
      </c>
      <c r="AA1177" s="1">
        <v>4100000</v>
      </c>
      <c r="AB1177" s="1" t="s">
        <v>910</v>
      </c>
      <c r="AC1177" s="5">
        <v>44210</v>
      </c>
      <c r="AF1177" s="1">
        <v>10012</v>
      </c>
      <c r="AI1177" s="1" t="s">
        <v>76</v>
      </c>
      <c r="AJ1177" s="1">
        <v>2017</v>
      </c>
      <c r="AK1177" s="1" t="s">
        <v>121</v>
      </c>
      <c r="AL1177" s="1">
        <v>38</v>
      </c>
    </row>
    <row r="1178" spans="1:38" x14ac:dyDescent="0.2">
      <c r="A1178" s="2" t="str">
        <f>HYPERLINK("https://www.compass.com/listing/75-kenmare-street-unit-6b-manhattan-ny-10012/803392997211412793/","75 Kenmare St, Unit 6B")</f>
        <v>75 Kenmare St, Unit 6B</v>
      </c>
      <c r="B1178" s="2" t="str">
        <f t="shared" si="212"/>
        <v>75 Kenmare Street</v>
      </c>
      <c r="C1178" s="1" t="s">
        <v>118</v>
      </c>
      <c r="D1178" s="1" t="s">
        <v>41</v>
      </c>
      <c r="E1178" s="3">
        <v>2300000</v>
      </c>
      <c r="F1178" s="1">
        <v>2491.8743228602302</v>
      </c>
      <c r="G1178" s="1">
        <v>3</v>
      </c>
      <c r="H1178" s="1">
        <v>1</v>
      </c>
      <c r="I1178" s="1">
        <v>1</v>
      </c>
      <c r="J1178" s="1">
        <v>1</v>
      </c>
      <c r="K1178" s="1">
        <v>1</v>
      </c>
      <c r="M1178" s="1">
        <v>923</v>
      </c>
      <c r="N1178" s="1">
        <v>1008</v>
      </c>
      <c r="O1178" s="1">
        <v>1950</v>
      </c>
      <c r="P1178" s="1">
        <v>942</v>
      </c>
      <c r="Q1178" s="1" t="s">
        <v>42</v>
      </c>
      <c r="S1178" s="1" t="s">
        <v>42</v>
      </c>
      <c r="T1178" s="1" t="s">
        <v>203</v>
      </c>
      <c r="U1178" s="1">
        <v>1432</v>
      </c>
      <c r="V1178" s="5">
        <v>44266</v>
      </c>
      <c r="W1178" s="5">
        <v>42773</v>
      </c>
      <c r="X1178" s="1">
        <v>2495000</v>
      </c>
      <c r="Y1178" s="1">
        <v>2495000</v>
      </c>
      <c r="AA1178" s="1">
        <v>2300000</v>
      </c>
      <c r="AB1178" s="1" t="s">
        <v>860</v>
      </c>
      <c r="AC1178" s="5">
        <v>44300</v>
      </c>
      <c r="AF1178" s="1">
        <v>10012</v>
      </c>
      <c r="AI1178" s="1" t="s">
        <v>911</v>
      </c>
      <c r="AJ1178" s="1">
        <v>2017</v>
      </c>
      <c r="AK1178" s="1" t="s">
        <v>81</v>
      </c>
      <c r="AL1178" s="1">
        <v>38</v>
      </c>
    </row>
    <row r="1179" spans="1:38" x14ac:dyDescent="0.2">
      <c r="A1179" s="2" t="str">
        <f>HYPERLINK("https://www.compass.com/listing/75-kenmare-street-unit-2g-manhattan-ny-10012/29515057528363697/","75 Kenmare St, Unit 2G")</f>
        <v>75 Kenmare St, Unit 2G</v>
      </c>
      <c r="B1179" s="2" t="str">
        <f t="shared" si="212"/>
        <v>75 Kenmare Street</v>
      </c>
      <c r="C1179" s="1" t="s">
        <v>118</v>
      </c>
      <c r="D1179" s="1" t="s">
        <v>41</v>
      </c>
      <c r="E1179" s="3">
        <v>2341975</v>
      </c>
      <c r="F1179" s="1">
        <v>2685.7511467889899</v>
      </c>
      <c r="G1179" s="1">
        <v>3</v>
      </c>
      <c r="H1179" s="1">
        <v>1</v>
      </c>
      <c r="I1179" s="1">
        <v>2</v>
      </c>
      <c r="J1179" s="1">
        <v>1.5</v>
      </c>
      <c r="K1179" s="1">
        <v>1</v>
      </c>
      <c r="L1179" s="1">
        <v>1</v>
      </c>
      <c r="M1179" s="1">
        <v>872</v>
      </c>
      <c r="N1179" s="1">
        <v>1007</v>
      </c>
      <c r="O1179" s="1">
        <v>1797</v>
      </c>
      <c r="P1179" s="1">
        <v>790</v>
      </c>
      <c r="Q1179" s="1" t="s">
        <v>42</v>
      </c>
      <c r="S1179" s="1" t="s">
        <v>42</v>
      </c>
      <c r="T1179" s="1" t="s">
        <v>203</v>
      </c>
      <c r="V1179" s="5">
        <v>44338</v>
      </c>
      <c r="W1179" s="5">
        <v>42892</v>
      </c>
      <c r="X1179" s="1">
        <v>2300000</v>
      </c>
      <c r="Y1179" s="1">
        <v>2300000</v>
      </c>
      <c r="Z1179" s="5">
        <v>42892</v>
      </c>
      <c r="AA1179" s="1">
        <v>2341975</v>
      </c>
      <c r="AB1179" s="1" t="s">
        <v>912</v>
      </c>
      <c r="AC1179" s="5">
        <v>43865</v>
      </c>
      <c r="AF1179" s="1">
        <v>10012</v>
      </c>
      <c r="AI1179" s="1" t="s">
        <v>726</v>
      </c>
      <c r="AJ1179" s="1">
        <v>2017</v>
      </c>
      <c r="AK1179" s="1" t="s">
        <v>121</v>
      </c>
      <c r="AL1179" s="1">
        <v>38</v>
      </c>
    </row>
    <row r="1180" spans="1:38" x14ac:dyDescent="0.2">
      <c r="A1180" s="2" t="str">
        <f>HYPERLINK("https://www.compass.com/listing/10-greene-street-unit-4-manhattan-ny-10013/197781997618270721/","10 Greene St, Unit 4")</f>
        <v>10 Greene St, Unit 4</v>
      </c>
      <c r="B1180" s="2" t="str">
        <f t="shared" ref="B1180:B1181" si="213">HYPERLINK("https://www.compass.com/building/10-greene-st-manhattan-ny-10013/281916365315538933/","10 Greene St")</f>
        <v>10 Greene St</v>
      </c>
      <c r="C1180" s="1" t="s">
        <v>913</v>
      </c>
      <c r="D1180" s="1" t="s">
        <v>41</v>
      </c>
      <c r="E1180" s="3">
        <v>4403250</v>
      </c>
      <c r="F1180" s="1">
        <v>1806.8321707016801</v>
      </c>
      <c r="G1180" s="1">
        <v>7</v>
      </c>
      <c r="H1180" s="1">
        <v>3</v>
      </c>
      <c r="I1180" s="1">
        <v>3</v>
      </c>
      <c r="J1180" s="1">
        <v>3</v>
      </c>
      <c r="K1180" s="1">
        <v>3</v>
      </c>
      <c r="M1180" s="4">
        <v>2437</v>
      </c>
      <c r="N1180" s="1">
        <v>1772</v>
      </c>
      <c r="O1180" s="1">
        <v>2531</v>
      </c>
      <c r="P1180" s="1">
        <v>759</v>
      </c>
      <c r="Q1180" s="1" t="s">
        <v>42</v>
      </c>
      <c r="S1180" s="1" t="s">
        <v>42</v>
      </c>
      <c r="T1180" s="1" t="s">
        <v>203</v>
      </c>
      <c r="U1180" s="1">
        <v>159</v>
      </c>
      <c r="V1180" s="5">
        <v>44111</v>
      </c>
      <c r="W1180" s="5">
        <v>43809</v>
      </c>
      <c r="Y1180" s="1">
        <v>4750000</v>
      </c>
      <c r="Z1180" s="5">
        <v>44062</v>
      </c>
      <c r="AA1180" s="1">
        <v>4403250</v>
      </c>
      <c r="AB1180" s="1" t="s">
        <v>914</v>
      </c>
      <c r="AC1180" s="5">
        <v>44098</v>
      </c>
      <c r="AF1180" s="1">
        <v>10013</v>
      </c>
      <c r="AJ1180" s="1">
        <v>1930</v>
      </c>
      <c r="AK1180" s="1" t="s">
        <v>61</v>
      </c>
      <c r="AL1180" s="1">
        <v>5</v>
      </c>
    </row>
    <row r="1181" spans="1:38" x14ac:dyDescent="0.2">
      <c r="A1181" s="2" t="str">
        <f>HYPERLINK("https://www.compass.com/listing/10-greene-street-unit-2-manhattan-ny-10013/203376534449394865/","10 Greene St, Unit 2")</f>
        <v>10 Greene St, Unit 2</v>
      </c>
      <c r="B1181" s="2" t="str">
        <f t="shared" si="213"/>
        <v>10 Greene St</v>
      </c>
      <c r="C1181" s="1" t="s">
        <v>913</v>
      </c>
      <c r="D1181" s="1" t="s">
        <v>41</v>
      </c>
      <c r="E1181" s="3">
        <v>4799281</v>
      </c>
      <c r="F1181" s="1">
        <v>1969.3398645876</v>
      </c>
      <c r="G1181" s="1">
        <v>5</v>
      </c>
      <c r="H1181" s="1">
        <v>3</v>
      </c>
      <c r="I1181" s="1">
        <v>3</v>
      </c>
      <c r="J1181" s="1">
        <v>3</v>
      </c>
      <c r="K1181" s="1">
        <v>3</v>
      </c>
      <c r="M1181" s="4">
        <v>2437</v>
      </c>
      <c r="N1181" s="1">
        <v>1762</v>
      </c>
      <c r="O1181" s="1">
        <v>2521</v>
      </c>
      <c r="P1181" s="1">
        <v>759</v>
      </c>
      <c r="Q1181" s="1" t="s">
        <v>42</v>
      </c>
      <c r="S1181" s="1" t="s">
        <v>42</v>
      </c>
      <c r="T1181" s="1" t="s">
        <v>203</v>
      </c>
      <c r="V1181" s="5">
        <v>44378</v>
      </c>
      <c r="W1181" s="5">
        <v>43862</v>
      </c>
      <c r="Y1181" s="1">
        <v>5525000</v>
      </c>
      <c r="Z1181" s="5">
        <v>43862</v>
      </c>
      <c r="AA1181" s="1">
        <v>4799281.25</v>
      </c>
      <c r="AB1181" s="1" t="s">
        <v>915</v>
      </c>
      <c r="AC1181" s="5">
        <v>44363</v>
      </c>
      <c r="AF1181" s="1">
        <v>10013</v>
      </c>
      <c r="AJ1181" s="1">
        <v>1930</v>
      </c>
      <c r="AL1181" s="1">
        <v>5</v>
      </c>
    </row>
    <row r="1182" spans="1:38" x14ac:dyDescent="0.2">
      <c r="A1182" s="2" t="str">
        <f>HYPERLINK("https://www.compass.com/listing/272-west-86th-street-unit-ph-manhattan-ny-10024/803394130159979561/","272 W 86th St, Unit PH")</f>
        <v>272 W 86th St, Unit PH</v>
      </c>
      <c r="B1182" s="2" t="str">
        <f t="shared" ref="B1182:B1183" si="214">HYPERLINK("https://www.compass.com/building/272-w-86th-st-manhattan-ny-10024/281964694468640149/","272 W 86th St")</f>
        <v>272 W 86th St</v>
      </c>
      <c r="C1182" s="1" t="s">
        <v>47</v>
      </c>
      <c r="D1182" s="1" t="s">
        <v>41</v>
      </c>
      <c r="E1182" s="3">
        <v>9676430</v>
      </c>
      <c r="F1182" s="1">
        <v>2233.19403415647</v>
      </c>
      <c r="G1182" s="1">
        <v>9</v>
      </c>
      <c r="H1182" s="1">
        <v>6</v>
      </c>
      <c r="I1182" s="1">
        <v>6</v>
      </c>
      <c r="J1182" s="1">
        <v>5.5</v>
      </c>
      <c r="M1182" s="4">
        <v>4333</v>
      </c>
      <c r="N1182" s="1">
        <v>6753</v>
      </c>
      <c r="O1182" s="1">
        <v>11916</v>
      </c>
      <c r="P1182" s="1">
        <v>5163</v>
      </c>
      <c r="Q1182" s="1" t="s">
        <v>42</v>
      </c>
      <c r="S1182" s="1" t="s">
        <v>42</v>
      </c>
      <c r="T1182" s="1" t="s">
        <v>203</v>
      </c>
      <c r="U1182" s="1">
        <v>59</v>
      </c>
      <c r="V1182" s="5">
        <v>43060</v>
      </c>
      <c r="W1182" s="5">
        <v>42912</v>
      </c>
      <c r="X1182" s="1">
        <v>9950000</v>
      </c>
      <c r="Y1182" s="1">
        <v>9950000</v>
      </c>
      <c r="Z1182" s="5">
        <v>42972</v>
      </c>
      <c r="AA1182" s="1">
        <v>9676429.75</v>
      </c>
      <c r="AB1182" s="1" t="s">
        <v>874</v>
      </c>
      <c r="AC1182" s="5">
        <v>43049</v>
      </c>
      <c r="AF1182" s="1">
        <v>10024</v>
      </c>
      <c r="AJ1182" s="1">
        <v>1895</v>
      </c>
      <c r="AK1182" s="1" t="s">
        <v>428</v>
      </c>
      <c r="AL1182" s="1">
        <v>7</v>
      </c>
    </row>
    <row r="1183" spans="1:38" x14ac:dyDescent="0.2">
      <c r="A1183" s="2" t="str">
        <f>HYPERLINK("https://www.compass.com/listing/272-west-86th-street-unit-2w-manhattan-ny-10024/803353676811003273/","272 W 86th St, Unit 2W")</f>
        <v>272 W 86th St, Unit 2W</v>
      </c>
      <c r="B1183" s="2" t="str">
        <f t="shared" si="214"/>
        <v>272 W 86th St</v>
      </c>
      <c r="C1183" s="1" t="s">
        <v>47</v>
      </c>
      <c r="D1183" s="1" t="s">
        <v>41</v>
      </c>
      <c r="E1183" s="3">
        <v>4710934</v>
      </c>
      <c r="F1183" s="1">
        <v>1835.90554559625</v>
      </c>
      <c r="G1183" s="1">
        <v>6</v>
      </c>
      <c r="H1183" s="1">
        <v>4</v>
      </c>
      <c r="I1183" s="1">
        <v>3</v>
      </c>
      <c r="J1183" s="1">
        <v>3</v>
      </c>
      <c r="M1183" s="4">
        <v>2566</v>
      </c>
      <c r="N1183" s="1">
        <v>3292</v>
      </c>
      <c r="O1183" s="1">
        <v>5809</v>
      </c>
      <c r="P1183" s="1">
        <v>2517</v>
      </c>
      <c r="Q1183" s="1" t="s">
        <v>42</v>
      </c>
      <c r="S1183" s="1" t="s">
        <v>42</v>
      </c>
      <c r="T1183" s="1" t="s">
        <v>203</v>
      </c>
      <c r="U1183" s="1">
        <v>21</v>
      </c>
      <c r="V1183" s="5">
        <v>43085</v>
      </c>
      <c r="W1183" s="5">
        <v>43007</v>
      </c>
      <c r="X1183" s="1">
        <v>4750000</v>
      </c>
      <c r="Y1183" s="1">
        <v>4750000</v>
      </c>
      <c r="Z1183" s="5">
        <v>43029</v>
      </c>
      <c r="AA1183" s="1">
        <v>4710933.63</v>
      </c>
      <c r="AB1183" s="1" t="s">
        <v>892</v>
      </c>
      <c r="AC1183" s="5">
        <v>43083</v>
      </c>
      <c r="AF1183" s="1">
        <v>10024</v>
      </c>
      <c r="AJ1183" s="1">
        <v>1895</v>
      </c>
      <c r="AK1183" s="1" t="s">
        <v>87</v>
      </c>
      <c r="AL1183" s="1">
        <v>7</v>
      </c>
    </row>
    <row r="1184" spans="1:38" x14ac:dyDescent="0.2">
      <c r="A1184" s="2" t="str">
        <f>HYPERLINK("https://www.compass.com/listing/275-west-10th-street-unit-mais-e-manhattan-ny-10014/15258594140263345/","275 W 10th St, Unit MAIS-E")</f>
        <v>275 W 10th St, Unit MAIS-E</v>
      </c>
      <c r="B1184" s="2" t="str">
        <f t="shared" ref="B1184:B1185" si="215">HYPERLINK("https://www.compass.com/building/the-shephard-manhattan-ny/281931968864632917/","The Shephard")</f>
        <v>The Shephard</v>
      </c>
      <c r="C1184" s="1" t="s">
        <v>68</v>
      </c>
      <c r="D1184" s="1" t="s">
        <v>41</v>
      </c>
      <c r="E1184" s="3">
        <v>1785000</v>
      </c>
      <c r="F1184" s="1">
        <v>1384.7944142746301</v>
      </c>
      <c r="G1184" s="1">
        <v>2</v>
      </c>
      <c r="H1184" s="1" t="s">
        <v>77</v>
      </c>
      <c r="I1184" s="1">
        <v>2</v>
      </c>
      <c r="J1184" s="1">
        <v>1.5</v>
      </c>
      <c r="M1184" s="4">
        <v>1289</v>
      </c>
      <c r="N1184" s="1">
        <v>1188</v>
      </c>
      <c r="O1184" s="1">
        <v>2744</v>
      </c>
      <c r="P1184" s="1">
        <v>1556</v>
      </c>
      <c r="Q1184" s="1" t="s">
        <v>42</v>
      </c>
      <c r="S1184" s="1" t="s">
        <v>42</v>
      </c>
      <c r="T1184" s="1" t="s">
        <v>203</v>
      </c>
      <c r="V1184" s="5">
        <v>43649</v>
      </c>
      <c r="W1184" s="5">
        <v>42441</v>
      </c>
      <c r="X1184" s="1">
        <v>1785000</v>
      </c>
      <c r="Y1184" s="1">
        <v>1785000</v>
      </c>
      <c r="Z1184" s="5">
        <v>42441</v>
      </c>
      <c r="AA1184" s="1">
        <v>1785000</v>
      </c>
      <c r="AB1184" s="1" t="s">
        <v>204</v>
      </c>
      <c r="AC1184" s="5">
        <v>43070</v>
      </c>
      <c r="AF1184" s="1">
        <v>10014</v>
      </c>
      <c r="AI1184" s="1" t="s">
        <v>67</v>
      </c>
      <c r="AJ1184" s="1">
        <v>2015</v>
      </c>
      <c r="AK1184" s="1" t="s">
        <v>55</v>
      </c>
      <c r="AL1184" s="1">
        <v>38</v>
      </c>
    </row>
    <row r="1185" spans="1:38" x14ac:dyDescent="0.2">
      <c r="A1185" s="2" t="str">
        <f>HYPERLINK("https://www.compass.com/listing/275-west-10th-street-unit-mais-e-manhattan-ny-10014/803305901247243185/","275 W 10th St, Unit MAIS-E")</f>
        <v>275 W 10th St, Unit MAIS-E</v>
      </c>
      <c r="B1185" s="2" t="str">
        <f t="shared" si="215"/>
        <v>The Shephard</v>
      </c>
      <c r="C1185" s="1" t="s">
        <v>68</v>
      </c>
      <c r="D1185" s="1" t="s">
        <v>41</v>
      </c>
      <c r="E1185" s="3">
        <v>1817576</v>
      </c>
      <c r="F1185" s="1">
        <v>1410.06671838634</v>
      </c>
      <c r="G1185" s="1">
        <v>2</v>
      </c>
      <c r="H1185" s="1" t="s">
        <v>77</v>
      </c>
      <c r="I1185" s="1">
        <v>2</v>
      </c>
      <c r="J1185" s="1">
        <v>1.5</v>
      </c>
      <c r="K1185" s="1">
        <v>1</v>
      </c>
      <c r="L1185" s="1">
        <v>1</v>
      </c>
      <c r="M1185" s="4">
        <v>1289</v>
      </c>
      <c r="N1185" s="1">
        <v>1188</v>
      </c>
      <c r="O1185" s="1">
        <v>2744</v>
      </c>
      <c r="P1185" s="1">
        <v>1556</v>
      </c>
      <c r="Q1185" s="1" t="s">
        <v>42</v>
      </c>
      <c r="S1185" s="1" t="s">
        <v>42</v>
      </c>
      <c r="T1185" s="1" t="s">
        <v>203</v>
      </c>
      <c r="U1185" s="1">
        <v>616</v>
      </c>
      <c r="V1185" s="5">
        <v>43678</v>
      </c>
      <c r="W1185" s="5">
        <v>42440</v>
      </c>
      <c r="X1185" s="1">
        <v>1785000</v>
      </c>
      <c r="Y1185" s="1">
        <v>1785000</v>
      </c>
      <c r="AA1185" s="1">
        <v>1817576</v>
      </c>
      <c r="AB1185" s="1" t="s">
        <v>204</v>
      </c>
      <c r="AC1185" s="5">
        <v>43056</v>
      </c>
      <c r="AF1185" s="1">
        <v>10014</v>
      </c>
      <c r="AI1185" s="1" t="s">
        <v>67</v>
      </c>
      <c r="AJ1185" s="1">
        <v>2015</v>
      </c>
      <c r="AK1185" s="1" t="s">
        <v>87</v>
      </c>
      <c r="AL1185" s="1">
        <v>38</v>
      </c>
    </row>
    <row r="1186" spans="1:38" x14ac:dyDescent="0.2">
      <c r="A1186" s="2" t="str">
        <f>HYPERLINK("https://www.compass.com/listing/272-west-86th-street-unit-3e-manhattan-ny-10024/29400767760804433/","272 W 86th St, Unit 3E")</f>
        <v>272 W 86th St, Unit 3E</v>
      </c>
      <c r="B1186" s="2" t="str">
        <f>HYPERLINK("https://www.compass.com/building/272-w-86th-st-manhattan-ny-10024/281964694468640149/","272 W 86th St")</f>
        <v>272 W 86th St</v>
      </c>
      <c r="C1186" s="1" t="s">
        <v>47</v>
      </c>
      <c r="D1186" s="1" t="s">
        <v>41</v>
      </c>
      <c r="E1186" s="3">
        <v>3938634</v>
      </c>
      <c r="F1186" s="1">
        <v>1713.9399477806701</v>
      </c>
      <c r="G1186" s="1">
        <v>6</v>
      </c>
      <c r="H1186" s="1">
        <v>3</v>
      </c>
      <c r="I1186" s="1">
        <v>3</v>
      </c>
      <c r="M1186" s="4">
        <v>2298</v>
      </c>
      <c r="N1186" s="1">
        <v>2532</v>
      </c>
      <c r="O1186" s="1">
        <v>4468</v>
      </c>
      <c r="P1186" s="1">
        <v>1936</v>
      </c>
      <c r="Q1186" s="1" t="s">
        <v>42</v>
      </c>
      <c r="S1186" s="1" t="s">
        <v>42</v>
      </c>
      <c r="T1186" s="1" t="s">
        <v>203</v>
      </c>
      <c r="U1186" s="1">
        <v>195</v>
      </c>
      <c r="V1186" s="5">
        <v>43650</v>
      </c>
      <c r="W1186" s="5">
        <v>42790</v>
      </c>
      <c r="X1186" s="1">
        <v>4795000</v>
      </c>
      <c r="Y1186" s="1">
        <v>3995000</v>
      </c>
      <c r="Z1186" s="5">
        <v>42985</v>
      </c>
      <c r="AA1186" s="1">
        <v>3938634</v>
      </c>
      <c r="AB1186" s="1" t="s">
        <v>916</v>
      </c>
      <c r="AC1186" s="5">
        <v>43070</v>
      </c>
      <c r="AF1186" s="1">
        <v>10024</v>
      </c>
      <c r="AJ1186" s="1">
        <v>1895</v>
      </c>
      <c r="AK1186" s="1" t="s">
        <v>87</v>
      </c>
      <c r="AL1186" s="1">
        <v>7</v>
      </c>
    </row>
    <row r="1187" spans="1:38" x14ac:dyDescent="0.2">
      <c r="A1187" s="2" t="str">
        <f>HYPERLINK("https://www.compass.com/listing/225-west-86th-street-unit-811-manhattan-ny-10024/30303533437879505/","225 W 86th St, Unit 811")</f>
        <v>225 W 86th St, Unit 811</v>
      </c>
      <c r="B1187" s="2" t="str">
        <f>HYPERLINK("https://www.compass.com/building/the-belnord-manhattan-ny/292869672083214101/","The Belnord")</f>
        <v>The Belnord</v>
      </c>
      <c r="C1187" s="1" t="s">
        <v>47</v>
      </c>
      <c r="D1187" s="1" t="s">
        <v>41</v>
      </c>
      <c r="E1187" s="3">
        <v>6558235</v>
      </c>
      <c r="F1187" s="1">
        <v>2101.3248958667</v>
      </c>
      <c r="G1187" s="1">
        <v>8</v>
      </c>
      <c r="H1187" s="1">
        <v>4</v>
      </c>
      <c r="I1187" s="1">
        <v>5</v>
      </c>
      <c r="J1187" s="1">
        <v>4.5</v>
      </c>
      <c r="K1187" s="1">
        <v>4</v>
      </c>
      <c r="L1187" s="1">
        <v>1</v>
      </c>
      <c r="M1187" s="4">
        <v>3121</v>
      </c>
      <c r="N1187" s="1">
        <v>2709</v>
      </c>
      <c r="O1187" s="1">
        <v>6934</v>
      </c>
      <c r="P1187" s="1">
        <v>4225</v>
      </c>
      <c r="Q1187" s="1" t="s">
        <v>42</v>
      </c>
      <c r="S1187" s="1" t="s">
        <v>42</v>
      </c>
      <c r="T1187" s="1" t="s">
        <v>203</v>
      </c>
      <c r="V1187" s="5">
        <v>43694</v>
      </c>
      <c r="W1187" s="5">
        <v>43294</v>
      </c>
      <c r="X1187" s="1">
        <v>8550000</v>
      </c>
      <c r="Y1187" s="1">
        <v>8550000</v>
      </c>
      <c r="Z1187" s="5">
        <v>43294</v>
      </c>
      <c r="AA1187" s="1">
        <v>6558235</v>
      </c>
      <c r="AB1187" s="1" t="s">
        <v>204</v>
      </c>
      <c r="AC1187" s="5">
        <v>43614</v>
      </c>
      <c r="AF1187" s="1">
        <v>10024</v>
      </c>
      <c r="AI1187" s="1" t="s">
        <v>67</v>
      </c>
      <c r="AJ1187" s="1">
        <v>1908</v>
      </c>
      <c r="AK1187" s="1" t="s">
        <v>81</v>
      </c>
      <c r="AL1187" s="1">
        <v>213</v>
      </c>
    </row>
    <row r="1188" spans="1:38" x14ac:dyDescent="0.2">
      <c r="A1188" s="2" t="str">
        <f>HYPERLINK("https://www.compass.com/listing/75-kenmare-street-unit-4b-manhattan-ny-10012/217301344925646753/","75 Kenmare St, Unit 4B")</f>
        <v>75 Kenmare St, Unit 4B</v>
      </c>
      <c r="B1188" s="2" t="str">
        <f>HYPERLINK("https://www.compass.com/building/75-kenmare-street-manhattan-ny/292810164757628581/","75 Kenmare Street")</f>
        <v>75 Kenmare Street</v>
      </c>
      <c r="C1188" s="1" t="s">
        <v>118</v>
      </c>
      <c r="D1188" s="1" t="s">
        <v>41</v>
      </c>
      <c r="E1188" s="3">
        <v>1765969</v>
      </c>
      <c r="F1188" s="1">
        <v>2494.3061440677898</v>
      </c>
      <c r="G1188" s="1">
        <v>3</v>
      </c>
      <c r="H1188" s="1">
        <v>1</v>
      </c>
      <c r="I1188" s="1">
        <v>1</v>
      </c>
      <c r="J1188" s="1">
        <v>1</v>
      </c>
      <c r="K1188" s="1">
        <v>1</v>
      </c>
      <c r="M1188" s="1">
        <v>708</v>
      </c>
      <c r="N1188" s="1">
        <v>788</v>
      </c>
      <c r="O1188" s="1">
        <v>1407</v>
      </c>
      <c r="P1188" s="1">
        <v>619</v>
      </c>
      <c r="Q1188" s="1" t="s">
        <v>42</v>
      </c>
      <c r="S1188" s="1" t="s">
        <v>42</v>
      </c>
      <c r="T1188" s="1" t="s">
        <v>203</v>
      </c>
      <c r="V1188" s="5">
        <v>44338</v>
      </c>
      <c r="W1188" s="5">
        <v>43550</v>
      </c>
      <c r="X1188" s="1">
        <v>1750000</v>
      </c>
      <c r="Y1188" s="1">
        <v>1750000</v>
      </c>
      <c r="Z1188" s="5">
        <v>43550</v>
      </c>
      <c r="AA1188" s="1">
        <v>1765968.75</v>
      </c>
      <c r="AB1188" s="1" t="s">
        <v>917</v>
      </c>
      <c r="AC1188" s="5">
        <v>43860</v>
      </c>
      <c r="AF1188" s="1">
        <v>10012</v>
      </c>
      <c r="AI1188" s="1" t="s">
        <v>76</v>
      </c>
      <c r="AJ1188" s="1">
        <v>2017</v>
      </c>
      <c r="AK1188" s="1" t="s">
        <v>121</v>
      </c>
      <c r="AL1188" s="1">
        <v>38</v>
      </c>
    </row>
    <row r="1189" spans="1:38" x14ac:dyDescent="0.2">
      <c r="A1189" s="2" t="str">
        <f>HYPERLINK("https://www.compass.com/listing/175-west-95th-street-unit-2d-manhattan-ny-10025/293397879114979601/","175 W 95th St, Unit 2D")</f>
        <v>175 W 95th St, Unit 2D</v>
      </c>
      <c r="B1189" s="2" t="str">
        <f>HYPERLINK("https://www.compass.com/building/175-w-95th-manhattan-ny/292876785429866517/","175 W 95th")</f>
        <v>175 W 95th</v>
      </c>
      <c r="C1189" s="1" t="s">
        <v>47</v>
      </c>
      <c r="D1189" s="1" t="s">
        <v>41</v>
      </c>
      <c r="E1189" s="3">
        <v>1216808</v>
      </c>
      <c r="F1189" s="1">
        <v>1718.65536723163</v>
      </c>
      <c r="G1189" s="1">
        <v>3</v>
      </c>
      <c r="H1189" s="1">
        <v>1</v>
      </c>
      <c r="I1189" s="1">
        <v>1</v>
      </c>
      <c r="J1189" s="1">
        <v>1</v>
      </c>
      <c r="M1189" s="1">
        <v>708</v>
      </c>
      <c r="Q1189" s="1" t="s">
        <v>42</v>
      </c>
      <c r="S1189" s="1" t="s">
        <v>42</v>
      </c>
      <c r="T1189" s="1" t="s">
        <v>203</v>
      </c>
      <c r="U1189" s="1">
        <v>175</v>
      </c>
      <c r="V1189" s="5">
        <v>43703</v>
      </c>
      <c r="W1189" s="5">
        <v>42195</v>
      </c>
      <c r="X1189" s="1">
        <v>1195000</v>
      </c>
      <c r="Y1189" s="1">
        <v>1195000</v>
      </c>
      <c r="Z1189" s="5">
        <v>42382</v>
      </c>
      <c r="AA1189" s="1">
        <v>1216808</v>
      </c>
      <c r="AB1189" s="1" t="s">
        <v>918</v>
      </c>
      <c r="AC1189" s="5">
        <v>42402</v>
      </c>
      <c r="AF1189" s="1">
        <v>10025</v>
      </c>
      <c r="AI1189" s="1" t="s">
        <v>163</v>
      </c>
      <c r="AJ1189" s="1">
        <v>1971</v>
      </c>
      <c r="AK1189" s="1" t="s">
        <v>50</v>
      </c>
      <c r="AL1189" s="1">
        <v>226</v>
      </c>
    </row>
    <row r="1190" spans="1:38" x14ac:dyDescent="0.2">
      <c r="A1190" s="2" t="str">
        <f>HYPERLINK("https://www.compass.com/listing/272-west-86th-street-unit-the-manhattan-ny-10024/29400766301186593/","272 W 86th St")</f>
        <v>272 W 86th St</v>
      </c>
      <c r="B1190" s="2" t="str">
        <f>HYPERLINK("https://www.compass.com/building/272-w-86th-st-manhattan-ny-10024/281964694468640149/","272 W 86th St")</f>
        <v>272 W 86th St</v>
      </c>
      <c r="C1190" s="1" t="s">
        <v>47</v>
      </c>
      <c r="D1190" s="1" t="s">
        <v>41</v>
      </c>
      <c r="E1190" s="3">
        <v>5478000</v>
      </c>
      <c r="F1190" s="1">
        <v>1609.7560975609699</v>
      </c>
      <c r="G1190" s="1">
        <v>8</v>
      </c>
      <c r="H1190" s="1">
        <v>4</v>
      </c>
      <c r="I1190" s="1">
        <v>5</v>
      </c>
      <c r="J1190" s="1">
        <v>0.5</v>
      </c>
      <c r="L1190" s="1">
        <v>1</v>
      </c>
      <c r="M1190" s="4">
        <v>3403</v>
      </c>
      <c r="N1190" s="1">
        <v>3461</v>
      </c>
      <c r="O1190" s="1">
        <v>6107</v>
      </c>
      <c r="P1190" s="1">
        <v>2646</v>
      </c>
      <c r="Q1190" s="1" t="s">
        <v>42</v>
      </c>
      <c r="S1190" s="1" t="s">
        <v>42</v>
      </c>
      <c r="T1190" s="1" t="s">
        <v>203</v>
      </c>
      <c r="U1190" s="1">
        <v>227</v>
      </c>
      <c r="V1190" s="5">
        <v>43662</v>
      </c>
      <c r="W1190" s="5">
        <v>42913</v>
      </c>
      <c r="X1190" s="1">
        <v>5950000</v>
      </c>
      <c r="Y1190" s="1">
        <v>5950000</v>
      </c>
      <c r="Z1190" s="5">
        <v>43140</v>
      </c>
      <c r="AA1190" s="1">
        <v>5478000</v>
      </c>
      <c r="AB1190" s="1" t="s">
        <v>919</v>
      </c>
      <c r="AC1190" s="5">
        <v>43172</v>
      </c>
      <c r="AF1190" s="1">
        <v>10024</v>
      </c>
      <c r="AJ1190" s="1">
        <v>1895</v>
      </c>
      <c r="AK1190" s="1" t="s">
        <v>87</v>
      </c>
      <c r="AL1190" s="1">
        <v>7</v>
      </c>
    </row>
    <row r="1191" spans="1:38" x14ac:dyDescent="0.2">
      <c r="A1191" s="2" t="str">
        <f>HYPERLINK("https://www.compass.com/listing/75-kenmare-street-unit-5d-manhattan-ny-10012/444109696782439737/","75 Kenmare St, Unit 5D")</f>
        <v>75 Kenmare St, Unit 5D</v>
      </c>
      <c r="B1191" s="2" t="str">
        <f>HYPERLINK("https://www.compass.com/building/75-kenmare-street-manhattan-ny/292810164757628581/","75 Kenmare Street")</f>
        <v>75 Kenmare Street</v>
      </c>
      <c r="C1191" s="1" t="s">
        <v>118</v>
      </c>
      <c r="D1191" s="1" t="s">
        <v>41</v>
      </c>
      <c r="E1191" s="3">
        <v>5093543</v>
      </c>
      <c r="F1191" s="1">
        <v>2840.7936419408802</v>
      </c>
      <c r="G1191" s="1">
        <v>5</v>
      </c>
      <c r="H1191" s="1">
        <v>3</v>
      </c>
      <c r="I1191" s="1">
        <v>4</v>
      </c>
      <c r="J1191" s="1">
        <v>3.5</v>
      </c>
      <c r="K1191" s="1">
        <v>3</v>
      </c>
      <c r="L1191" s="1">
        <v>1</v>
      </c>
      <c r="M1191" s="4">
        <v>1793</v>
      </c>
      <c r="N1191" s="1">
        <v>1958</v>
      </c>
      <c r="O1191" s="1">
        <v>3788</v>
      </c>
      <c r="P1191" s="1">
        <v>1830</v>
      </c>
      <c r="Q1191" s="1" t="s">
        <v>42</v>
      </c>
      <c r="S1191" s="1" t="s">
        <v>42</v>
      </c>
      <c r="T1191" s="1" t="s">
        <v>203</v>
      </c>
      <c r="V1191" s="5">
        <v>44338</v>
      </c>
      <c r="W1191" s="5">
        <v>43865</v>
      </c>
      <c r="X1191" s="1">
        <v>5100000</v>
      </c>
      <c r="Y1191" s="1">
        <v>5100000</v>
      </c>
      <c r="Z1191" s="5">
        <v>43865</v>
      </c>
      <c r="AA1191" s="1">
        <v>5093543</v>
      </c>
      <c r="AB1191" s="1" t="s">
        <v>920</v>
      </c>
      <c r="AC1191" s="5">
        <v>43896</v>
      </c>
      <c r="AF1191" s="1">
        <v>10012</v>
      </c>
      <c r="AI1191" s="1" t="s">
        <v>76</v>
      </c>
      <c r="AJ1191" s="1">
        <v>2017</v>
      </c>
      <c r="AK1191" s="1" t="s">
        <v>121</v>
      </c>
      <c r="AL1191" s="1">
        <v>38</v>
      </c>
    </row>
    <row r="1192" spans="1:38" x14ac:dyDescent="0.2">
      <c r="A1192" s="2" t="str">
        <f>HYPERLINK("https://www.compass.com/listing/225-west-86th-street-unit-304-manhattan-ny-10024/780478401206853641/","225 W 86th St, Unit 304")</f>
        <v>225 W 86th St, Unit 304</v>
      </c>
      <c r="B1192" s="2" t="str">
        <f>HYPERLINK("https://www.compass.com/building/the-belnord-manhattan-ny/292869672083214101/","The Belnord")</f>
        <v>The Belnord</v>
      </c>
      <c r="C1192" s="1" t="s">
        <v>47</v>
      </c>
      <c r="D1192" s="1" t="s">
        <v>41</v>
      </c>
      <c r="E1192" s="3">
        <v>7595000</v>
      </c>
      <c r="F1192" s="1">
        <v>2430.4</v>
      </c>
      <c r="G1192" s="1">
        <v>7</v>
      </c>
      <c r="H1192" s="1">
        <v>4</v>
      </c>
      <c r="I1192" s="1">
        <v>5</v>
      </c>
      <c r="J1192" s="1">
        <v>4.5</v>
      </c>
      <c r="K1192" s="1">
        <v>4</v>
      </c>
      <c r="L1192" s="1">
        <v>1</v>
      </c>
      <c r="M1192" s="4">
        <v>3125</v>
      </c>
      <c r="N1192" s="1">
        <v>2703</v>
      </c>
      <c r="O1192" s="1">
        <v>7576</v>
      </c>
      <c r="P1192" s="1">
        <v>4873</v>
      </c>
      <c r="Q1192" s="1" t="s">
        <v>42</v>
      </c>
      <c r="S1192" s="1" t="s">
        <v>42</v>
      </c>
      <c r="T1192" s="1" t="s">
        <v>203</v>
      </c>
      <c r="U1192" s="1">
        <v>68</v>
      </c>
      <c r="V1192" s="5">
        <v>44401</v>
      </c>
      <c r="W1192" s="5">
        <v>44328</v>
      </c>
      <c r="X1192" s="1">
        <v>7150000</v>
      </c>
      <c r="Y1192" s="1">
        <v>7150000</v>
      </c>
      <c r="Z1192" s="5">
        <v>44397</v>
      </c>
      <c r="AA1192" s="1">
        <v>7595000</v>
      </c>
      <c r="AB1192" s="1" t="s">
        <v>204</v>
      </c>
      <c r="AC1192" s="5">
        <v>44399</v>
      </c>
      <c r="AF1192" s="1">
        <v>10024</v>
      </c>
      <c r="AI1192" s="1" t="s">
        <v>67</v>
      </c>
      <c r="AJ1192" s="1">
        <v>1908</v>
      </c>
      <c r="AK1192" s="1" t="s">
        <v>81</v>
      </c>
      <c r="AL1192" s="1">
        <v>213</v>
      </c>
    </row>
    <row r="1193" spans="1:38" x14ac:dyDescent="0.2">
      <c r="A1193" s="2" t="str">
        <f>HYPERLINK("https://www.compass.com/listing/75-kenmare-street-unit-3b-manhattan-ny-10012/167512441389920913/","75 Kenmare St, Unit 3B")</f>
        <v>75 Kenmare St, Unit 3B</v>
      </c>
      <c r="B1193" s="2" t="str">
        <f>HYPERLINK("https://www.compass.com/building/75-kenmare-street-manhattan-ny/292810164757628581/","75 Kenmare Street")</f>
        <v>75 Kenmare Street</v>
      </c>
      <c r="C1193" s="1" t="s">
        <v>118</v>
      </c>
      <c r="D1193" s="1" t="s">
        <v>41</v>
      </c>
      <c r="E1193" s="3">
        <v>1740741</v>
      </c>
      <c r="F1193" s="1">
        <v>2458.6732062146798</v>
      </c>
      <c r="G1193" s="1">
        <v>3</v>
      </c>
      <c r="H1193" s="1">
        <v>1</v>
      </c>
      <c r="I1193" s="1">
        <v>1</v>
      </c>
      <c r="J1193" s="1">
        <v>1</v>
      </c>
      <c r="K1193" s="1">
        <v>1</v>
      </c>
      <c r="M1193" s="1">
        <v>708</v>
      </c>
      <c r="N1193" s="1">
        <v>788</v>
      </c>
      <c r="O1193" s="1">
        <v>1407</v>
      </c>
      <c r="P1193" s="1">
        <v>619</v>
      </c>
      <c r="Q1193" s="1" t="s">
        <v>42</v>
      </c>
      <c r="S1193" s="1" t="s">
        <v>42</v>
      </c>
      <c r="T1193" s="1" t="s">
        <v>203</v>
      </c>
      <c r="U1193" s="1">
        <v>76</v>
      </c>
      <c r="V1193" s="5">
        <v>44338</v>
      </c>
      <c r="W1193" s="5">
        <v>43483</v>
      </c>
      <c r="X1193" s="1">
        <v>1725000</v>
      </c>
      <c r="Y1193" s="1">
        <v>1725000</v>
      </c>
      <c r="Z1193" s="5">
        <v>43559</v>
      </c>
      <c r="AA1193" s="1">
        <v>1740740.63</v>
      </c>
      <c r="AB1193" s="1" t="s">
        <v>921</v>
      </c>
      <c r="AC1193" s="5">
        <v>43819</v>
      </c>
      <c r="AF1193" s="1">
        <v>10012</v>
      </c>
      <c r="AI1193" s="1" t="s">
        <v>76</v>
      </c>
      <c r="AJ1193" s="1">
        <v>2017</v>
      </c>
      <c r="AK1193" s="1" t="s">
        <v>121</v>
      </c>
      <c r="AL1193" s="1">
        <v>38</v>
      </c>
    </row>
    <row r="1194" spans="1:38" x14ac:dyDescent="0.2">
      <c r="A1194" s="2" t="str">
        <f>HYPERLINK("https://www.compass.com/listing/111-leroy-street-unit-3c-manhattan-ny-10014/474461540759049009/","111 Leroy St, Unit 3C")</f>
        <v>111 Leroy St, Unit 3C</v>
      </c>
      <c r="B1194" s="2" t="str">
        <f>HYPERLINK("https://www.compass.com/building/111-leroy-st-manhattan-ny-10014/281921905882074869/","111 Leroy St")</f>
        <v>111 Leroy St</v>
      </c>
      <c r="C1194" s="1" t="s">
        <v>68</v>
      </c>
      <c r="D1194" s="1" t="s">
        <v>41</v>
      </c>
      <c r="E1194" s="3">
        <v>1995000</v>
      </c>
      <c r="F1194" s="1">
        <v>2577.51937984496</v>
      </c>
      <c r="G1194" s="1">
        <v>2.5</v>
      </c>
      <c r="H1194" s="1" t="s">
        <v>69</v>
      </c>
      <c r="I1194" s="1">
        <v>1</v>
      </c>
      <c r="J1194" s="1">
        <v>1</v>
      </c>
      <c r="K1194" s="1">
        <v>1</v>
      </c>
      <c r="M1194" s="1">
        <v>774</v>
      </c>
      <c r="N1194" s="1">
        <v>865</v>
      </c>
      <c r="O1194" s="1">
        <v>1745</v>
      </c>
      <c r="P1194" s="1">
        <v>880</v>
      </c>
      <c r="Q1194" s="1" t="s">
        <v>42</v>
      </c>
      <c r="S1194" s="1" t="s">
        <v>42</v>
      </c>
      <c r="T1194" s="1" t="s">
        <v>203</v>
      </c>
      <c r="U1194" s="1">
        <v>3</v>
      </c>
      <c r="V1194" s="5">
        <v>44314</v>
      </c>
      <c r="W1194" s="5">
        <v>43903</v>
      </c>
      <c r="X1194" s="1">
        <v>1995000</v>
      </c>
      <c r="Y1194" s="1">
        <v>1995000</v>
      </c>
      <c r="Z1194" s="5">
        <v>43906</v>
      </c>
      <c r="AA1194" s="1">
        <v>1995000</v>
      </c>
      <c r="AB1194" s="1" t="s">
        <v>204</v>
      </c>
      <c r="AC1194" s="5">
        <v>44271</v>
      </c>
      <c r="AF1194" s="1">
        <v>10014</v>
      </c>
      <c r="AI1194" s="1" t="s">
        <v>76</v>
      </c>
      <c r="AJ1194" s="1">
        <v>2019</v>
      </c>
      <c r="AK1194" s="1" t="s">
        <v>81</v>
      </c>
      <c r="AL1194" s="1">
        <v>13</v>
      </c>
    </row>
    <row r="1195" spans="1:38" x14ac:dyDescent="0.2">
      <c r="A1195" s="2" t="str">
        <f>HYPERLINK("https://www.compass.com/listing/75-kenmare-street-unit-3h-manhattan-ny-10012/29515061127117489/","75 Kenmare St, Unit 3H")</f>
        <v>75 Kenmare St, Unit 3H</v>
      </c>
      <c r="B1195" s="2" t="str">
        <f t="shared" ref="B1195:B1200" si="216">HYPERLINK("https://www.compass.com/building/75-kenmare-street-manhattan-ny/292810164757628581/","75 Kenmare Street")</f>
        <v>75 Kenmare Street</v>
      </c>
      <c r="C1195" s="1" t="s">
        <v>118</v>
      </c>
      <c r="D1195" s="1" t="s">
        <v>41</v>
      </c>
      <c r="E1195" s="3">
        <v>1710467</v>
      </c>
      <c r="F1195" s="1">
        <v>2749.94694533762</v>
      </c>
      <c r="G1195" s="1">
        <v>3.5</v>
      </c>
      <c r="H1195" s="1">
        <v>1</v>
      </c>
      <c r="I1195" s="1">
        <v>1</v>
      </c>
      <c r="J1195" s="1">
        <v>1</v>
      </c>
      <c r="K1195" s="1">
        <v>1</v>
      </c>
      <c r="M1195" s="1">
        <v>622</v>
      </c>
      <c r="N1195" s="1">
        <v>691</v>
      </c>
      <c r="O1195" s="1">
        <v>1233</v>
      </c>
      <c r="P1195" s="1">
        <v>542</v>
      </c>
      <c r="Q1195" s="1" t="s">
        <v>42</v>
      </c>
      <c r="S1195" s="1" t="s">
        <v>42</v>
      </c>
      <c r="T1195" s="1" t="s">
        <v>203</v>
      </c>
      <c r="U1195" s="1">
        <v>73</v>
      </c>
      <c r="V1195" s="5">
        <v>44338</v>
      </c>
      <c r="W1195" s="5">
        <v>42837</v>
      </c>
      <c r="X1195" s="1">
        <v>1695000</v>
      </c>
      <c r="Y1195" s="1">
        <v>1695000</v>
      </c>
      <c r="Z1195" s="5">
        <v>42910</v>
      </c>
      <c r="AA1195" s="1">
        <v>1710467</v>
      </c>
      <c r="AB1195" s="1" t="s">
        <v>922</v>
      </c>
      <c r="AC1195" s="5">
        <v>43868</v>
      </c>
      <c r="AF1195" s="1">
        <v>10012</v>
      </c>
      <c r="AI1195" s="1" t="s">
        <v>76</v>
      </c>
      <c r="AJ1195" s="1">
        <v>2017</v>
      </c>
      <c r="AK1195" s="1" t="s">
        <v>121</v>
      </c>
      <c r="AL1195" s="1">
        <v>38</v>
      </c>
    </row>
    <row r="1196" spans="1:38" x14ac:dyDescent="0.2">
      <c r="A1196" s="2" t="str">
        <f>HYPERLINK("https://www.compass.com/listing/75-kenmare-street-unit-4h-manhattan-ny-10012/73714183862062705/","75 Kenmare St, Unit 4H")</f>
        <v>75 Kenmare St, Unit 4H</v>
      </c>
      <c r="B1196" s="2" t="str">
        <f t="shared" si="216"/>
        <v>75 Kenmare Street</v>
      </c>
      <c r="C1196" s="1" t="s">
        <v>118</v>
      </c>
      <c r="D1196" s="1" t="s">
        <v>41</v>
      </c>
      <c r="E1196" s="3">
        <v>1603744</v>
      </c>
      <c r="F1196" s="1">
        <v>2578.3661575562701</v>
      </c>
      <c r="G1196" s="1">
        <v>3.5</v>
      </c>
      <c r="H1196" s="1">
        <v>1</v>
      </c>
      <c r="I1196" s="1">
        <v>1</v>
      </c>
      <c r="J1196" s="1">
        <v>1</v>
      </c>
      <c r="K1196" s="1">
        <v>1</v>
      </c>
      <c r="M1196" s="1">
        <v>622</v>
      </c>
      <c r="N1196" s="1">
        <v>691</v>
      </c>
      <c r="O1196" s="1">
        <v>1233</v>
      </c>
      <c r="P1196" s="1">
        <v>542</v>
      </c>
      <c r="Q1196" s="1" t="s">
        <v>42</v>
      </c>
      <c r="S1196" s="1" t="s">
        <v>42</v>
      </c>
      <c r="T1196" s="1" t="s">
        <v>203</v>
      </c>
      <c r="V1196" s="5">
        <v>44338</v>
      </c>
      <c r="W1196" s="5">
        <v>43353</v>
      </c>
      <c r="X1196" s="1">
        <v>1575000</v>
      </c>
      <c r="Y1196" s="1">
        <v>1575000</v>
      </c>
      <c r="Z1196" s="5">
        <v>43354</v>
      </c>
      <c r="AA1196" s="1">
        <v>1603743.75</v>
      </c>
      <c r="AB1196" s="1" t="s">
        <v>923</v>
      </c>
      <c r="AC1196" s="5">
        <v>43846</v>
      </c>
      <c r="AF1196" s="1">
        <v>10012</v>
      </c>
      <c r="AI1196" s="1" t="s">
        <v>726</v>
      </c>
      <c r="AJ1196" s="1">
        <v>2017</v>
      </c>
      <c r="AK1196" s="1" t="s">
        <v>121</v>
      </c>
      <c r="AL1196" s="1">
        <v>38</v>
      </c>
    </row>
    <row r="1197" spans="1:38" x14ac:dyDescent="0.2">
      <c r="A1197" s="2" t="str">
        <f>HYPERLINK("https://www.compass.com/listing/75-kenmare-street-unit-3c-manhattan-ny-10012/75133572775711073/","75 Kenmare St, Unit 3C")</f>
        <v>75 Kenmare St, Unit 3C</v>
      </c>
      <c r="B1197" s="2" t="str">
        <f t="shared" si="216"/>
        <v>75 Kenmare Street</v>
      </c>
      <c r="C1197" s="1" t="s">
        <v>118</v>
      </c>
      <c r="D1197" s="1" t="s">
        <v>41</v>
      </c>
      <c r="E1197" s="3">
        <v>1600000</v>
      </c>
      <c r="F1197" s="1">
        <v>2406.0150375939802</v>
      </c>
      <c r="G1197" s="1">
        <v>3</v>
      </c>
      <c r="H1197" s="1">
        <v>1</v>
      </c>
      <c r="I1197" s="1">
        <v>1</v>
      </c>
      <c r="J1197" s="1">
        <v>1</v>
      </c>
      <c r="K1197" s="1">
        <v>1</v>
      </c>
      <c r="M1197" s="1">
        <v>665</v>
      </c>
      <c r="N1197" s="1">
        <v>739</v>
      </c>
      <c r="O1197" s="1">
        <v>1319</v>
      </c>
      <c r="P1197" s="1">
        <v>580</v>
      </c>
      <c r="Q1197" s="1" t="s">
        <v>42</v>
      </c>
      <c r="S1197" s="1" t="s">
        <v>42</v>
      </c>
      <c r="T1197" s="1" t="s">
        <v>203</v>
      </c>
      <c r="U1197" s="1">
        <v>75</v>
      </c>
      <c r="V1197" s="5">
        <v>44338</v>
      </c>
      <c r="W1197" s="5">
        <v>43356</v>
      </c>
      <c r="X1197" s="1">
        <v>1650000</v>
      </c>
      <c r="Y1197" s="1">
        <v>1650000</v>
      </c>
      <c r="Z1197" s="5">
        <v>43431</v>
      </c>
      <c r="AA1197" s="1">
        <v>1600000</v>
      </c>
      <c r="AB1197" s="1" t="s">
        <v>924</v>
      </c>
      <c r="AC1197" s="5">
        <v>43805</v>
      </c>
      <c r="AF1197" s="1">
        <v>10012</v>
      </c>
      <c r="AI1197" s="1" t="s">
        <v>76</v>
      </c>
      <c r="AJ1197" s="1">
        <v>2017</v>
      </c>
      <c r="AK1197" s="1" t="s">
        <v>121</v>
      </c>
      <c r="AL1197" s="1">
        <v>38</v>
      </c>
    </row>
    <row r="1198" spans="1:38" x14ac:dyDescent="0.2">
      <c r="A1198" s="2" t="str">
        <f>HYPERLINK("https://www.compass.com/listing/75-kenmare-street-unit-2f-manhattan-ny-10012/75133573220301745/","75 Kenmare St, Unit 2F")</f>
        <v>75 Kenmare St, Unit 2F</v>
      </c>
      <c r="B1198" s="2" t="str">
        <f t="shared" si="216"/>
        <v>75 Kenmare Street</v>
      </c>
      <c r="C1198" s="1" t="s">
        <v>118</v>
      </c>
      <c r="D1198" s="1" t="s">
        <v>41</v>
      </c>
      <c r="E1198" s="3">
        <v>1858306</v>
      </c>
      <c r="F1198" s="1">
        <v>2441.9264126149801</v>
      </c>
      <c r="G1198" s="1">
        <v>3.5</v>
      </c>
      <c r="H1198" s="1">
        <v>1</v>
      </c>
      <c r="I1198" s="1">
        <v>1</v>
      </c>
      <c r="J1198" s="1">
        <v>1</v>
      </c>
      <c r="K1198" s="1">
        <v>1</v>
      </c>
      <c r="M1198" s="1">
        <v>761</v>
      </c>
      <c r="N1198" s="1">
        <v>885</v>
      </c>
      <c r="O1198" s="1">
        <v>1580</v>
      </c>
      <c r="P1198" s="1">
        <v>695</v>
      </c>
      <c r="Q1198" s="1" t="s">
        <v>42</v>
      </c>
      <c r="S1198" s="1" t="s">
        <v>42</v>
      </c>
      <c r="T1198" s="1" t="s">
        <v>203</v>
      </c>
      <c r="U1198" s="1">
        <v>100</v>
      </c>
      <c r="V1198" s="5">
        <v>44338</v>
      </c>
      <c r="W1198" s="5">
        <v>43356</v>
      </c>
      <c r="X1198" s="1">
        <v>1850000</v>
      </c>
      <c r="Y1198" s="1">
        <v>1850000</v>
      </c>
      <c r="Z1198" s="5">
        <v>43456</v>
      </c>
      <c r="AA1198" s="1">
        <v>1858306</v>
      </c>
      <c r="AB1198" s="1" t="s">
        <v>925</v>
      </c>
      <c r="AC1198" s="5">
        <v>43860</v>
      </c>
      <c r="AF1198" s="1">
        <v>10012</v>
      </c>
      <c r="AI1198" s="1" t="s">
        <v>726</v>
      </c>
      <c r="AJ1198" s="1">
        <v>2017</v>
      </c>
      <c r="AK1198" s="1" t="s">
        <v>121</v>
      </c>
      <c r="AL1198" s="1">
        <v>38</v>
      </c>
    </row>
    <row r="1199" spans="1:38" x14ac:dyDescent="0.2">
      <c r="A1199" s="2" t="str">
        <f>HYPERLINK("https://www.compass.com/listing/75-kenmare-street-unit-2h-manhattan-ny-10012/803324564054286377/","75 Kenmare St, Unit 2H")</f>
        <v>75 Kenmare St, Unit 2H</v>
      </c>
      <c r="B1199" s="2" t="str">
        <f t="shared" si="216"/>
        <v>75 Kenmare Street</v>
      </c>
      <c r="C1199" s="1" t="s">
        <v>118</v>
      </c>
      <c r="D1199" s="1" t="s">
        <v>41</v>
      </c>
      <c r="E1199" s="3">
        <v>1710467</v>
      </c>
      <c r="F1199" s="1">
        <v>2846.0347420964999</v>
      </c>
      <c r="G1199" s="1">
        <v>3</v>
      </c>
      <c r="H1199" s="1">
        <v>1</v>
      </c>
      <c r="I1199" s="1">
        <v>1</v>
      </c>
      <c r="J1199" s="1">
        <v>1</v>
      </c>
      <c r="K1199" s="1">
        <v>1</v>
      </c>
      <c r="M1199" s="1">
        <v>601</v>
      </c>
      <c r="N1199" s="1">
        <v>1007</v>
      </c>
      <c r="O1199" s="1">
        <v>1797</v>
      </c>
      <c r="P1199" s="1">
        <v>790</v>
      </c>
      <c r="Q1199" s="1" t="s">
        <v>42</v>
      </c>
      <c r="S1199" s="1" t="s">
        <v>42</v>
      </c>
      <c r="T1199" s="1" t="s">
        <v>203</v>
      </c>
      <c r="U1199" s="1">
        <v>62</v>
      </c>
      <c r="V1199" s="5">
        <v>44338</v>
      </c>
      <c r="W1199" s="5">
        <v>42773</v>
      </c>
      <c r="X1199" s="1">
        <v>1695000</v>
      </c>
      <c r="Y1199" s="1">
        <v>1695000</v>
      </c>
      <c r="Z1199" s="5">
        <v>42892</v>
      </c>
      <c r="AA1199" s="1">
        <v>1710466.88</v>
      </c>
      <c r="AB1199" s="1" t="s">
        <v>885</v>
      </c>
      <c r="AC1199" s="5">
        <v>43951</v>
      </c>
      <c r="AF1199" s="1">
        <v>10012</v>
      </c>
      <c r="AI1199" s="1" t="s">
        <v>192</v>
      </c>
      <c r="AJ1199" s="1">
        <v>2017</v>
      </c>
      <c r="AK1199" s="1" t="s">
        <v>121</v>
      </c>
      <c r="AL1199" s="1">
        <v>38</v>
      </c>
    </row>
    <row r="1200" spans="1:38" x14ac:dyDescent="0.2">
      <c r="A1200" s="2" t="str">
        <f>HYPERLINK("https://www.compass.com/listing/75-kenmare-street-unit-6a-manhattan-ny-10012/695043905495526041/","75 Kenmare St, Unit 6A")</f>
        <v>75 Kenmare St, Unit 6A</v>
      </c>
      <c r="B1200" s="2" t="str">
        <f t="shared" si="216"/>
        <v>75 Kenmare Street</v>
      </c>
      <c r="C1200" s="1" t="s">
        <v>118</v>
      </c>
      <c r="D1200" s="1" t="s">
        <v>41</v>
      </c>
      <c r="E1200" s="3">
        <v>4150000</v>
      </c>
      <c r="F1200" s="1">
        <v>2498.4948826008399</v>
      </c>
      <c r="G1200" s="1">
        <v>4</v>
      </c>
      <c r="H1200" s="1">
        <v>2</v>
      </c>
      <c r="I1200" s="1">
        <v>3</v>
      </c>
      <c r="J1200" s="1">
        <v>2.5</v>
      </c>
      <c r="K1200" s="1">
        <v>2</v>
      </c>
      <c r="L1200" s="1">
        <v>1</v>
      </c>
      <c r="M1200" s="4">
        <v>1661</v>
      </c>
      <c r="N1200" s="1">
        <v>1810</v>
      </c>
      <c r="O1200" s="1">
        <v>3502</v>
      </c>
      <c r="P1200" s="1">
        <v>1692</v>
      </c>
      <c r="Q1200" s="1" t="s">
        <v>42</v>
      </c>
      <c r="S1200" s="1" t="s">
        <v>42</v>
      </c>
      <c r="T1200" s="1" t="s">
        <v>203</v>
      </c>
      <c r="V1200" s="5">
        <v>44338</v>
      </c>
      <c r="W1200" s="5">
        <v>43811</v>
      </c>
      <c r="X1200" s="1">
        <v>4449000</v>
      </c>
      <c r="Y1200" s="1">
        <v>4449000</v>
      </c>
      <c r="Z1200" s="5">
        <v>43811</v>
      </c>
      <c r="AA1200" s="1">
        <v>4150000</v>
      </c>
      <c r="AB1200" s="1" t="s">
        <v>926</v>
      </c>
      <c r="AC1200" s="5">
        <v>44267</v>
      </c>
      <c r="AF1200" s="1">
        <v>10012</v>
      </c>
      <c r="AI1200" s="1" t="s">
        <v>76</v>
      </c>
      <c r="AJ1200" s="1">
        <v>2017</v>
      </c>
      <c r="AK1200" s="1" t="s">
        <v>121</v>
      </c>
      <c r="AL1200" s="1">
        <v>38</v>
      </c>
    </row>
    <row r="1201" spans="1:38" x14ac:dyDescent="0.2">
      <c r="A1201" s="2" t="str">
        <f>HYPERLINK("https://www.compass.com/listing/260-bowery-unit-4-manhattan-ny-10012/232523846165570753/","260 Bowery, Unit 4")</f>
        <v>260 Bowery, Unit 4</v>
      </c>
      <c r="B1201" s="2" t="str">
        <f t="shared" ref="B1201:B1202" si="217">HYPERLINK("https://www.compass.com/building/260-bowery-manhattan-ny-10012/307438183939486949/","260 Bowery")</f>
        <v>260 Bowery</v>
      </c>
      <c r="C1201" s="1" t="s">
        <v>118</v>
      </c>
      <c r="D1201" s="1" t="s">
        <v>41</v>
      </c>
      <c r="E1201" s="3">
        <v>3496069</v>
      </c>
      <c r="F1201" s="1">
        <v>1729.0152077151299</v>
      </c>
      <c r="G1201" s="1">
        <v>6</v>
      </c>
      <c r="H1201" s="1">
        <v>3</v>
      </c>
      <c r="I1201" s="1">
        <v>3</v>
      </c>
      <c r="J1201" s="1">
        <v>2.5</v>
      </c>
      <c r="K1201" s="1">
        <v>2</v>
      </c>
      <c r="L1201" s="1">
        <v>1</v>
      </c>
      <c r="M1201" s="4">
        <v>2022</v>
      </c>
      <c r="N1201" s="1">
        <v>1733</v>
      </c>
      <c r="O1201" s="1">
        <v>4677</v>
      </c>
      <c r="P1201" s="1">
        <v>2944</v>
      </c>
      <c r="Q1201" s="1" t="s">
        <v>42</v>
      </c>
      <c r="S1201" s="1" t="s">
        <v>42</v>
      </c>
      <c r="T1201" s="1" t="s">
        <v>203</v>
      </c>
      <c r="U1201" s="1">
        <v>318</v>
      </c>
      <c r="V1201" s="5">
        <v>44406</v>
      </c>
      <c r="W1201" s="5">
        <v>44032</v>
      </c>
      <c r="X1201" s="1">
        <v>3450000</v>
      </c>
      <c r="Y1201" s="1">
        <v>3450000</v>
      </c>
      <c r="Z1201" s="5">
        <v>44351</v>
      </c>
      <c r="AA1201" s="1">
        <v>3496068.75</v>
      </c>
      <c r="AB1201" s="1" t="s">
        <v>927</v>
      </c>
      <c r="AC1201" s="5">
        <v>44377</v>
      </c>
      <c r="AF1201" s="1">
        <v>10012</v>
      </c>
      <c r="AI1201" s="1" t="s">
        <v>127</v>
      </c>
      <c r="AJ1201" s="1">
        <v>2019</v>
      </c>
    </row>
    <row r="1202" spans="1:38" x14ac:dyDescent="0.2">
      <c r="A1202" s="2" t="str">
        <f>HYPERLINK("https://www.compass.com/listing/260-bowery-unit-4-manhattan-ny-10012/801635324618668353/","260 Bowery, Unit 4")</f>
        <v>260 Bowery, Unit 4</v>
      </c>
      <c r="B1202" s="2" t="str">
        <f t="shared" si="217"/>
        <v>260 Bowery</v>
      </c>
      <c r="C1202" s="1" t="s">
        <v>118</v>
      </c>
      <c r="D1202" s="1" t="s">
        <v>41</v>
      </c>
      <c r="E1202" s="3">
        <v>3496069</v>
      </c>
      <c r="F1202" s="1">
        <v>1729.0152077151299</v>
      </c>
      <c r="G1202" s="1">
        <v>5</v>
      </c>
      <c r="H1202" s="1">
        <v>3</v>
      </c>
      <c r="I1202" s="1">
        <v>3</v>
      </c>
      <c r="J1202" s="1">
        <v>2.5</v>
      </c>
      <c r="K1202" s="1">
        <v>2</v>
      </c>
      <c r="L1202" s="1">
        <v>1</v>
      </c>
      <c r="M1202" s="4">
        <v>2022</v>
      </c>
      <c r="O1202" s="1">
        <v>2944</v>
      </c>
      <c r="P1202" s="1">
        <v>2944</v>
      </c>
      <c r="Q1202" s="1" t="s">
        <v>42</v>
      </c>
      <c r="S1202" s="1" t="s">
        <v>42</v>
      </c>
      <c r="T1202" s="1" t="s">
        <v>203</v>
      </c>
      <c r="U1202" s="1">
        <v>285</v>
      </c>
      <c r="V1202" s="5">
        <v>44407</v>
      </c>
      <c r="W1202" s="5">
        <v>43571</v>
      </c>
      <c r="X1202" s="1">
        <v>4750000</v>
      </c>
      <c r="Y1202" s="1">
        <v>4750000</v>
      </c>
      <c r="AA1202" s="1">
        <v>3496068.75</v>
      </c>
      <c r="AB1202" s="1" t="s">
        <v>927</v>
      </c>
      <c r="AC1202" s="5">
        <v>44377</v>
      </c>
      <c r="AF1202" s="1">
        <v>10012</v>
      </c>
      <c r="AI1202" s="1" t="s">
        <v>928</v>
      </c>
      <c r="AJ1202" s="1">
        <v>2019</v>
      </c>
      <c r="AK1202" s="1" t="s">
        <v>61</v>
      </c>
    </row>
    <row r="1203" spans="1:38" x14ac:dyDescent="0.2">
      <c r="A1203" s="2" t="str">
        <f>HYPERLINK("https://www.compass.com/listing/32-east-1st-street-unit-3e-manhattan-ny-10003/480867064798872929/","32 E 1st St, Unit 3E")</f>
        <v>32 E 1st St, Unit 3E</v>
      </c>
      <c r="B1203" s="2" t="str">
        <f>HYPERLINK("https://www.compass.com/building/32-east-1st-street-manhattan-ny/292783157810310133/","32 East 1st Street")</f>
        <v>32 East 1st Street</v>
      </c>
      <c r="C1203" s="1" t="s">
        <v>88</v>
      </c>
      <c r="D1203" s="1" t="s">
        <v>41</v>
      </c>
      <c r="E1203" s="3">
        <v>1080000</v>
      </c>
      <c r="F1203" s="1">
        <v>2231.40495867768</v>
      </c>
      <c r="H1203" s="1">
        <v>1</v>
      </c>
      <c r="J1203" s="1">
        <v>1</v>
      </c>
      <c r="K1203" s="1">
        <v>1</v>
      </c>
      <c r="M1203" s="1">
        <v>484</v>
      </c>
      <c r="N1203" s="1">
        <v>605</v>
      </c>
      <c r="O1203" s="1">
        <v>1265</v>
      </c>
      <c r="P1203" s="1">
        <v>660</v>
      </c>
      <c r="Q1203" s="1" t="s">
        <v>42</v>
      </c>
      <c r="S1203" s="1" t="s">
        <v>42</v>
      </c>
      <c r="T1203" s="1" t="s">
        <v>203</v>
      </c>
      <c r="AA1203" s="1">
        <v>1080000</v>
      </c>
      <c r="AB1203" s="1" t="s">
        <v>929</v>
      </c>
      <c r="AC1203" s="5">
        <v>43901</v>
      </c>
      <c r="AF1203" s="1">
        <v>10003</v>
      </c>
      <c r="AI1203" s="1" t="s">
        <v>45</v>
      </c>
      <c r="AJ1203" s="1">
        <v>2019</v>
      </c>
      <c r="AK1203" s="1" t="s">
        <v>55</v>
      </c>
      <c r="AL1203" s="1">
        <v>30</v>
      </c>
    </row>
    <row r="1204" spans="1:38" x14ac:dyDescent="0.2">
      <c r="A1204" s="2" t="str">
        <f>HYPERLINK("https://www.compass.com/listing/175-west-95th-street-unit-16f-manhattan-ny-10025/774347654611212305/","175 W 95th St, Unit 16F")</f>
        <v>175 W 95th St, Unit 16F</v>
      </c>
      <c r="B1204" s="2" t="str">
        <f t="shared" ref="B1204:B1206" si="218">HYPERLINK("https://www.compass.com/building/175-w-95th-manhattan-ny/292876785429866517/","175 W 95th")</f>
        <v>175 W 95th</v>
      </c>
      <c r="C1204" s="1" t="s">
        <v>47</v>
      </c>
      <c r="D1204" s="1" t="s">
        <v>41</v>
      </c>
      <c r="E1204" s="3">
        <v>1435000</v>
      </c>
      <c r="F1204" s="1">
        <v>1512.11801896733</v>
      </c>
      <c r="H1204" s="1">
        <v>2</v>
      </c>
      <c r="J1204" s="1">
        <v>2</v>
      </c>
      <c r="K1204" s="1">
        <v>2</v>
      </c>
      <c r="M1204" s="1">
        <v>949</v>
      </c>
      <c r="N1204" s="1">
        <v>1032</v>
      </c>
      <c r="O1204" s="1">
        <v>1656</v>
      </c>
      <c r="P1204" s="1">
        <v>624</v>
      </c>
      <c r="Q1204" s="1" t="s">
        <v>42</v>
      </c>
      <c r="S1204" s="1" t="s">
        <v>42</v>
      </c>
      <c r="T1204" s="1" t="s">
        <v>203</v>
      </c>
      <c r="AA1204" s="1">
        <v>1435000</v>
      </c>
      <c r="AB1204" s="1" t="s">
        <v>930</v>
      </c>
      <c r="AC1204" s="5">
        <v>44299</v>
      </c>
      <c r="AF1204" s="1">
        <v>10025</v>
      </c>
      <c r="AI1204" s="1" t="s">
        <v>52</v>
      </c>
      <c r="AJ1204" s="1">
        <v>1971</v>
      </c>
      <c r="AK1204" s="1" t="s">
        <v>50</v>
      </c>
      <c r="AL1204" s="1">
        <v>226</v>
      </c>
    </row>
    <row r="1205" spans="1:38" x14ac:dyDescent="0.2">
      <c r="A1205" s="2" t="str">
        <f>HYPERLINK("https://www.compass.com/listing/175-west-95th-street-unit-9f-manhattan-ny-10025/785952810041560345/","175 W 95th St, Unit 9F")</f>
        <v>175 W 95th St, Unit 9F</v>
      </c>
      <c r="B1205" s="2" t="str">
        <f t="shared" si="218"/>
        <v>175 W 95th</v>
      </c>
      <c r="C1205" s="1" t="s">
        <v>47</v>
      </c>
      <c r="D1205" s="1" t="s">
        <v>41</v>
      </c>
      <c r="E1205" s="3">
        <v>1425000</v>
      </c>
      <c r="F1205" s="1">
        <v>1501.58061116965</v>
      </c>
      <c r="H1205" s="1">
        <v>2</v>
      </c>
      <c r="J1205" s="1">
        <v>2</v>
      </c>
      <c r="K1205" s="1">
        <v>2</v>
      </c>
      <c r="M1205" s="1">
        <v>949</v>
      </c>
      <c r="N1205" s="1">
        <v>1001</v>
      </c>
      <c r="O1205" s="1">
        <v>1606</v>
      </c>
      <c r="P1205" s="1">
        <v>605</v>
      </c>
      <c r="Q1205" s="1" t="s">
        <v>42</v>
      </c>
      <c r="S1205" s="1" t="s">
        <v>42</v>
      </c>
      <c r="T1205" s="1" t="s">
        <v>203</v>
      </c>
      <c r="AA1205" s="1">
        <v>1425000</v>
      </c>
      <c r="AB1205" s="1" t="s">
        <v>931</v>
      </c>
      <c r="AC1205" s="5">
        <v>44316</v>
      </c>
      <c r="AF1205" s="1">
        <v>10025</v>
      </c>
      <c r="AI1205" s="1" t="s">
        <v>52</v>
      </c>
      <c r="AJ1205" s="1">
        <v>1971</v>
      </c>
      <c r="AK1205" s="1" t="s">
        <v>50</v>
      </c>
      <c r="AL1205" s="1">
        <v>226</v>
      </c>
    </row>
    <row r="1206" spans="1:38" x14ac:dyDescent="0.2">
      <c r="A1206" s="2" t="str">
        <f>HYPERLINK("https://www.compass.com/listing/175-west-95th-street-unit-6h-manhattan-ny-10025/29400319783868241/","175 W 95th St, Unit 6H")</f>
        <v>175 W 95th St, Unit 6H</v>
      </c>
      <c r="B1206" s="2" t="str">
        <f t="shared" si="218"/>
        <v>175 W 95th</v>
      </c>
      <c r="C1206" s="1" t="s">
        <v>47</v>
      </c>
      <c r="D1206" s="1" t="s">
        <v>41</v>
      </c>
      <c r="E1206" s="3">
        <v>641498</v>
      </c>
      <c r="F1206" s="1">
        <v>1272.81349206349</v>
      </c>
      <c r="G1206" s="1">
        <v>2</v>
      </c>
      <c r="H1206" s="1" t="s">
        <v>77</v>
      </c>
      <c r="I1206" s="1">
        <v>1</v>
      </c>
      <c r="J1206" s="1">
        <v>1</v>
      </c>
      <c r="K1206" s="1">
        <v>1</v>
      </c>
      <c r="M1206" s="1">
        <v>504</v>
      </c>
      <c r="N1206" s="1">
        <v>542.92999999999995</v>
      </c>
      <c r="O1206" s="1">
        <v>764</v>
      </c>
      <c r="P1206" s="1">
        <v>221.083333333333</v>
      </c>
      <c r="Q1206" s="1" t="s">
        <v>42</v>
      </c>
      <c r="S1206" s="1" t="s">
        <v>42</v>
      </c>
      <c r="T1206" s="1" t="s">
        <v>203</v>
      </c>
      <c r="U1206" s="1">
        <v>110</v>
      </c>
      <c r="V1206" s="5">
        <v>43633</v>
      </c>
      <c r="W1206" s="5">
        <v>41991</v>
      </c>
      <c r="X1206" s="1">
        <v>630000</v>
      </c>
      <c r="Y1206" s="1">
        <v>630000</v>
      </c>
      <c r="Z1206" s="5">
        <v>42101</v>
      </c>
      <c r="AA1206" s="1">
        <v>641498</v>
      </c>
      <c r="AB1206" s="1" t="s">
        <v>932</v>
      </c>
      <c r="AC1206" s="5">
        <v>42325</v>
      </c>
      <c r="AF1206" s="1">
        <v>10025</v>
      </c>
      <c r="AI1206" s="1" t="s">
        <v>103</v>
      </c>
      <c r="AJ1206" s="1">
        <v>1971</v>
      </c>
      <c r="AK1206" s="1" t="s">
        <v>81</v>
      </c>
      <c r="AL1206" s="1">
        <v>226</v>
      </c>
    </row>
    <row r="1207" spans="1:38" x14ac:dyDescent="0.2">
      <c r="A1207" s="2" t="str">
        <f>HYPERLINK("https://www.compass.com/listing/272-west-86th-street-unit-3e-manhattan-ny-10024/803366367835086897/","272 W 86th St, Unit 3E")</f>
        <v>272 W 86th St, Unit 3E</v>
      </c>
      <c r="B1207" s="2" t="str">
        <f>HYPERLINK("https://www.compass.com/building/272-w-86th-st-manhattan-ny-10024/281964694468640149/","272 W 86th St")</f>
        <v>272 W 86th St</v>
      </c>
      <c r="C1207" s="1" t="s">
        <v>47</v>
      </c>
      <c r="D1207" s="1" t="s">
        <v>41</v>
      </c>
      <c r="E1207" s="3">
        <v>3938634</v>
      </c>
      <c r="F1207" s="1">
        <v>1713.9401174934701</v>
      </c>
      <c r="G1207" s="1">
        <v>6</v>
      </c>
      <c r="H1207" s="1">
        <v>3</v>
      </c>
      <c r="I1207" s="1">
        <v>3</v>
      </c>
      <c r="J1207" s="1">
        <v>3</v>
      </c>
      <c r="M1207" s="4">
        <v>2298</v>
      </c>
      <c r="N1207" s="1">
        <v>2532</v>
      </c>
      <c r="O1207" s="1">
        <v>4468</v>
      </c>
      <c r="P1207" s="1">
        <v>1936</v>
      </c>
      <c r="Q1207" s="1" t="s">
        <v>42</v>
      </c>
      <c r="S1207" s="1" t="s">
        <v>42</v>
      </c>
      <c r="T1207" s="1" t="s">
        <v>203</v>
      </c>
      <c r="U1207" s="1">
        <v>195</v>
      </c>
      <c r="V1207" s="5">
        <v>43071</v>
      </c>
      <c r="W1207" s="5">
        <v>42790</v>
      </c>
      <c r="X1207" s="1">
        <v>4795000</v>
      </c>
      <c r="Y1207" s="1">
        <v>3995000</v>
      </c>
      <c r="Z1207" s="5">
        <v>42985</v>
      </c>
      <c r="AA1207" s="1">
        <v>3938634.39</v>
      </c>
      <c r="AB1207" s="1" t="s">
        <v>916</v>
      </c>
      <c r="AC1207" s="5">
        <v>43069</v>
      </c>
      <c r="AF1207" s="1">
        <v>10024</v>
      </c>
      <c r="AJ1207" s="1">
        <v>1895</v>
      </c>
      <c r="AK1207" s="1" t="s">
        <v>87</v>
      </c>
      <c r="AL1207" s="1">
        <v>7</v>
      </c>
    </row>
    <row r="1208" spans="1:38" x14ac:dyDescent="0.2">
      <c r="A1208" s="2" t="str">
        <f>HYPERLINK("https://www.compass.com/listing/175-west-95th-street-unit-18j-manhattan-ny-10025/29400329380435953/","175 W 95th St, Unit 18J")</f>
        <v>175 W 95th St, Unit 18J</v>
      </c>
      <c r="B1208" s="2" t="str">
        <f>HYPERLINK("https://www.compass.com/building/175-w-95th-manhattan-ny/292876785429866517/","175 W 95th")</f>
        <v>175 W 95th</v>
      </c>
      <c r="C1208" s="1" t="s">
        <v>47</v>
      </c>
      <c r="D1208" s="1" t="s">
        <v>41</v>
      </c>
      <c r="E1208" s="3">
        <v>789144</v>
      </c>
      <c r="F1208" s="1">
        <v>1541.296875</v>
      </c>
      <c r="G1208" s="1">
        <v>3</v>
      </c>
      <c r="H1208" s="1">
        <v>1</v>
      </c>
      <c r="I1208" s="1">
        <v>1</v>
      </c>
      <c r="J1208" s="1">
        <v>1</v>
      </c>
      <c r="M1208" s="1">
        <v>512</v>
      </c>
      <c r="Q1208" s="1" t="s">
        <v>42</v>
      </c>
      <c r="S1208" s="1" t="s">
        <v>42</v>
      </c>
      <c r="T1208" s="1" t="s">
        <v>203</v>
      </c>
      <c r="U1208" s="1">
        <v>25</v>
      </c>
      <c r="V1208" s="5">
        <v>43703</v>
      </c>
      <c r="W1208" s="5">
        <v>42293</v>
      </c>
      <c r="X1208" s="1">
        <v>775000</v>
      </c>
      <c r="Y1208" s="1">
        <v>775000</v>
      </c>
      <c r="Z1208" s="5">
        <v>42318</v>
      </c>
      <c r="AA1208" s="1">
        <v>789144</v>
      </c>
      <c r="AB1208" s="1" t="s">
        <v>933</v>
      </c>
      <c r="AC1208" s="5">
        <v>42389</v>
      </c>
      <c r="AF1208" s="1">
        <v>10025</v>
      </c>
      <c r="AI1208" s="1" t="s">
        <v>52</v>
      </c>
      <c r="AJ1208" s="1">
        <v>1971</v>
      </c>
      <c r="AK1208" s="1" t="s">
        <v>50</v>
      </c>
      <c r="AL1208" s="1">
        <v>226</v>
      </c>
    </row>
    <row r="1209" spans="1:38" x14ac:dyDescent="0.2">
      <c r="A1209" s="2" t="str">
        <f>HYPERLINK("https://www.compass.com/listing/75-kenmare-street-unit-6f-manhattan-ny-10012/405021076154362545/","75 Kenmare St, Unit 6F")</f>
        <v>75 Kenmare St, Unit 6F</v>
      </c>
      <c r="B1209" s="2" t="str">
        <f>HYPERLINK("https://www.compass.com/building/75-kenmare-street-manhattan-ny/292810164757628581/","75 Kenmare Street")</f>
        <v>75 Kenmare Street</v>
      </c>
      <c r="C1209" s="1" t="s">
        <v>118</v>
      </c>
      <c r="D1209" s="1" t="s">
        <v>41</v>
      </c>
      <c r="E1209" s="3">
        <v>5700000</v>
      </c>
      <c r="F1209" s="1">
        <v>2858.5757271815401</v>
      </c>
      <c r="G1209" s="1">
        <v>6</v>
      </c>
      <c r="H1209" s="1">
        <v>3</v>
      </c>
      <c r="I1209" s="1">
        <v>4</v>
      </c>
      <c r="J1209" s="1">
        <v>3.5</v>
      </c>
      <c r="K1209" s="1">
        <v>3</v>
      </c>
      <c r="L1209" s="1">
        <v>1</v>
      </c>
      <c r="M1209" s="4">
        <v>1994</v>
      </c>
      <c r="N1209" s="1">
        <v>2213</v>
      </c>
      <c r="O1209" s="1">
        <v>3950</v>
      </c>
      <c r="P1209" s="1">
        <v>1737</v>
      </c>
      <c r="Q1209" s="1" t="s">
        <v>42</v>
      </c>
      <c r="S1209" s="1" t="s">
        <v>42</v>
      </c>
      <c r="T1209" s="1" t="s">
        <v>203</v>
      </c>
      <c r="U1209" s="1">
        <v>455</v>
      </c>
      <c r="V1209" s="5">
        <v>44338</v>
      </c>
      <c r="W1209" s="5">
        <v>43355</v>
      </c>
      <c r="X1209" s="1">
        <v>5700000</v>
      </c>
      <c r="Y1209" s="1">
        <v>5700000</v>
      </c>
      <c r="Z1209" s="5">
        <v>43811</v>
      </c>
      <c r="AA1209" s="1">
        <v>5700000</v>
      </c>
      <c r="AB1209" s="1" t="s">
        <v>934</v>
      </c>
      <c r="AC1209" s="5">
        <v>43917</v>
      </c>
      <c r="AF1209" s="1">
        <v>10012</v>
      </c>
      <c r="AI1209" s="1" t="s">
        <v>76</v>
      </c>
      <c r="AJ1209" s="1">
        <v>2017</v>
      </c>
      <c r="AK1209" s="1" t="s">
        <v>121</v>
      </c>
      <c r="AL1209" s="1">
        <v>38</v>
      </c>
    </row>
    <row r="1210" spans="1:38" x14ac:dyDescent="0.2">
      <c r="A1210" s="2" t="str">
        <f>HYPERLINK("https://www.compass.com/listing/225-west-86th-street-unit-207-manhattan-ny-10024/340525022766095777/","225 W 86th St, Unit 207")</f>
        <v>225 W 86th St, Unit 207</v>
      </c>
      <c r="B1210" s="2" t="str">
        <f>HYPERLINK("https://www.compass.com/building/the-belnord-manhattan-ny/292869672083214101/","The Belnord")</f>
        <v>The Belnord</v>
      </c>
      <c r="C1210" s="1" t="s">
        <v>47</v>
      </c>
      <c r="D1210" s="1" t="s">
        <v>41</v>
      </c>
      <c r="E1210" s="3">
        <v>5475000</v>
      </c>
      <c r="F1210" s="1">
        <v>2432.25233229675</v>
      </c>
      <c r="G1210" s="1">
        <v>8.5</v>
      </c>
      <c r="H1210" s="1">
        <v>3</v>
      </c>
      <c r="I1210" s="1">
        <v>4</v>
      </c>
      <c r="J1210" s="1">
        <v>3.5</v>
      </c>
      <c r="K1210" s="1">
        <v>3</v>
      </c>
      <c r="L1210" s="1">
        <v>1</v>
      </c>
      <c r="M1210" s="4">
        <v>2251</v>
      </c>
      <c r="N1210" s="1">
        <v>1958</v>
      </c>
      <c r="O1210" s="1">
        <v>4946</v>
      </c>
      <c r="P1210" s="1">
        <v>2988</v>
      </c>
      <c r="Q1210" s="1" t="s">
        <v>42</v>
      </c>
      <c r="S1210" s="1" t="s">
        <v>42</v>
      </c>
      <c r="T1210" s="1" t="s">
        <v>203</v>
      </c>
      <c r="V1210" s="5">
        <v>44193</v>
      </c>
      <c r="W1210" s="5">
        <v>43721</v>
      </c>
      <c r="X1210" s="1">
        <v>5750000</v>
      </c>
      <c r="Y1210" s="1">
        <v>5750000</v>
      </c>
      <c r="Z1210" s="5">
        <v>43722</v>
      </c>
      <c r="AA1210" s="1">
        <v>5475000</v>
      </c>
      <c r="AB1210" s="1" t="s">
        <v>204</v>
      </c>
      <c r="AC1210" s="5">
        <v>44183</v>
      </c>
      <c r="AF1210" s="1">
        <v>10024</v>
      </c>
      <c r="AI1210" s="1" t="s">
        <v>67</v>
      </c>
      <c r="AJ1210" s="1">
        <v>1908</v>
      </c>
      <c r="AK1210" s="1" t="s">
        <v>81</v>
      </c>
      <c r="AL1210" s="1">
        <v>213</v>
      </c>
    </row>
    <row r="1211" spans="1:38" x14ac:dyDescent="0.2">
      <c r="A1211" s="2" t="str">
        <f>HYPERLINK("https://www.compass.com/listing/175-west-95th-street-unit-20c-manhattan-ny-10025/29400330663971569/","175 W 95th St, Unit 20C")</f>
        <v>175 W 95th St, Unit 20C</v>
      </c>
      <c r="B1211" s="2" t="str">
        <f t="shared" ref="B1211:B1212" si="219">HYPERLINK("https://www.compass.com/building/175-w-95th-manhattan-ny/292876785429866517/","175 W 95th")</f>
        <v>175 W 95th</v>
      </c>
      <c r="C1211" s="1" t="s">
        <v>47</v>
      </c>
      <c r="D1211" s="1" t="s">
        <v>41</v>
      </c>
      <c r="E1211" s="3">
        <v>2036500</v>
      </c>
      <c r="F1211" s="1">
        <v>1625.2992817238601</v>
      </c>
      <c r="H1211" s="1">
        <v>3</v>
      </c>
      <c r="J1211" s="1">
        <v>2</v>
      </c>
      <c r="K1211" s="1">
        <v>2</v>
      </c>
      <c r="M1211" s="4">
        <v>1253</v>
      </c>
      <c r="N1211" s="1">
        <v>1375</v>
      </c>
      <c r="O1211" s="1">
        <v>2344</v>
      </c>
      <c r="P1211" s="1">
        <v>969</v>
      </c>
      <c r="Q1211" s="1" t="s">
        <v>42</v>
      </c>
      <c r="S1211" s="1" t="s">
        <v>42</v>
      </c>
      <c r="T1211" s="1" t="s">
        <v>203</v>
      </c>
      <c r="AA1211" s="1">
        <v>2036500</v>
      </c>
      <c r="AB1211" s="1" t="s">
        <v>935</v>
      </c>
      <c r="AC1211" s="5">
        <v>42340</v>
      </c>
      <c r="AF1211" s="1">
        <v>10025</v>
      </c>
      <c r="AI1211" s="1" t="s">
        <v>52</v>
      </c>
      <c r="AJ1211" s="1">
        <v>1971</v>
      </c>
      <c r="AK1211" s="1" t="s">
        <v>50</v>
      </c>
      <c r="AL1211" s="1">
        <v>226</v>
      </c>
    </row>
    <row r="1212" spans="1:38" x14ac:dyDescent="0.2">
      <c r="A1212" s="2" t="str">
        <f>HYPERLINK("https://www.compass.com/listing/175-west-95th-street-unit-14c-manhattan-ny-10025/70957844224021089/","175 W 95th St, Unit 14C")</f>
        <v>175 W 95th St, Unit 14C</v>
      </c>
      <c r="B1212" s="2" t="str">
        <f t="shared" si="219"/>
        <v>175 W 95th</v>
      </c>
      <c r="C1212" s="1" t="s">
        <v>47</v>
      </c>
      <c r="D1212" s="1" t="s">
        <v>41</v>
      </c>
      <c r="E1212" s="3">
        <v>1980496</v>
      </c>
      <c r="F1212" s="1">
        <v>1580.6035514764501</v>
      </c>
      <c r="H1212" s="1">
        <v>3</v>
      </c>
      <c r="J1212" s="1">
        <v>2</v>
      </c>
      <c r="M1212" s="4">
        <v>1253</v>
      </c>
      <c r="N1212" s="1">
        <v>1354</v>
      </c>
      <c r="O1212" s="1">
        <v>1906</v>
      </c>
      <c r="P1212" s="1">
        <v>552</v>
      </c>
      <c r="Q1212" s="1" t="s">
        <v>42</v>
      </c>
      <c r="S1212" s="1" t="s">
        <v>42</v>
      </c>
      <c r="T1212" s="1" t="s">
        <v>203</v>
      </c>
      <c r="AA1212" s="1">
        <v>1980496.25</v>
      </c>
      <c r="AB1212" s="1" t="s">
        <v>936</v>
      </c>
      <c r="AC1212" s="5">
        <v>42332</v>
      </c>
      <c r="AF1212" s="1">
        <v>10025</v>
      </c>
      <c r="AI1212" s="1" t="s">
        <v>52</v>
      </c>
      <c r="AJ1212" s="1">
        <v>1971</v>
      </c>
      <c r="AK1212" s="1" t="s">
        <v>50</v>
      </c>
      <c r="AL1212" s="1">
        <v>226</v>
      </c>
    </row>
    <row r="1213" spans="1:38" x14ac:dyDescent="0.2">
      <c r="A1213" s="2" t="str">
        <f>HYPERLINK("https://www.compass.com/listing/225-west-86th-street-unit-906-manhattan-ny-10024/765992173949155857/","225 W 86th St, Unit 906")</f>
        <v>225 W 86th St, Unit 906</v>
      </c>
      <c r="B1213" s="2" t="str">
        <f t="shared" ref="B1213:B1214" si="220">HYPERLINK("https://www.compass.com/building/the-belnord-manhattan-ny/292869672083214101/","The Belnord")</f>
        <v>The Belnord</v>
      </c>
      <c r="C1213" s="1" t="s">
        <v>47</v>
      </c>
      <c r="D1213" s="1" t="s">
        <v>41</v>
      </c>
      <c r="E1213" s="3">
        <v>6475000</v>
      </c>
      <c r="F1213" s="1">
        <v>2547.2069236821399</v>
      </c>
      <c r="G1213" s="1">
        <v>7</v>
      </c>
      <c r="H1213" s="1">
        <v>3</v>
      </c>
      <c r="I1213" s="1">
        <v>4</v>
      </c>
      <c r="J1213" s="1">
        <v>4</v>
      </c>
      <c r="K1213" s="1">
        <v>4</v>
      </c>
      <c r="M1213" s="4">
        <v>2542</v>
      </c>
      <c r="N1213" s="1">
        <v>2204</v>
      </c>
      <c r="O1213" s="1">
        <v>6360</v>
      </c>
      <c r="P1213" s="1">
        <v>4156</v>
      </c>
      <c r="Q1213" s="1" t="s">
        <v>42</v>
      </c>
      <c r="S1213" s="1" t="s">
        <v>42</v>
      </c>
      <c r="T1213" s="1" t="s">
        <v>203</v>
      </c>
      <c r="U1213" s="1">
        <v>1</v>
      </c>
      <c r="V1213" s="5">
        <v>44397</v>
      </c>
      <c r="W1213" s="5">
        <v>44308</v>
      </c>
      <c r="X1213" s="1">
        <v>1</v>
      </c>
      <c r="Y1213" s="1">
        <v>1</v>
      </c>
      <c r="Z1213" s="5">
        <v>44309</v>
      </c>
      <c r="AA1213" s="1">
        <v>6475000</v>
      </c>
      <c r="AB1213" s="1" t="s">
        <v>204</v>
      </c>
      <c r="AC1213" s="5">
        <v>44393</v>
      </c>
      <c r="AF1213" s="1">
        <v>10024</v>
      </c>
      <c r="AI1213" s="1" t="s">
        <v>67</v>
      </c>
      <c r="AJ1213" s="1">
        <v>1908</v>
      </c>
      <c r="AK1213" s="1" t="s">
        <v>81</v>
      </c>
      <c r="AL1213" s="1">
        <v>213</v>
      </c>
    </row>
    <row r="1214" spans="1:38" x14ac:dyDescent="0.2">
      <c r="A1214" s="2" t="str">
        <f>HYPERLINK("https://www.compass.com/listing/225-west-86th-street-unit-803-manhattan-ny-10024/272454291342555217/","225 W 86th St, Unit 803")</f>
        <v>225 W 86th St, Unit 803</v>
      </c>
      <c r="B1214" s="2" t="str">
        <f t="shared" si="220"/>
        <v>The Belnord</v>
      </c>
      <c r="C1214" s="1" t="s">
        <v>47</v>
      </c>
      <c r="D1214" s="1" t="s">
        <v>41</v>
      </c>
      <c r="E1214" s="3">
        <v>6700000</v>
      </c>
      <c r="F1214" s="1">
        <v>2144.6862996158702</v>
      </c>
      <c r="G1214" s="1">
        <v>9</v>
      </c>
      <c r="H1214" s="1">
        <v>4</v>
      </c>
      <c r="I1214" s="1">
        <v>5</v>
      </c>
      <c r="J1214" s="1">
        <v>4.5</v>
      </c>
      <c r="K1214" s="1">
        <v>4</v>
      </c>
      <c r="L1214" s="1">
        <v>1</v>
      </c>
      <c r="M1214" s="4">
        <v>3124</v>
      </c>
      <c r="N1214" s="1">
        <v>2702</v>
      </c>
      <c r="O1214" s="1">
        <v>6982</v>
      </c>
      <c r="P1214" s="1">
        <v>4280</v>
      </c>
      <c r="Q1214" s="1" t="s">
        <v>42</v>
      </c>
      <c r="S1214" s="1" t="s">
        <v>42</v>
      </c>
      <c r="T1214" s="1" t="s">
        <v>203</v>
      </c>
      <c r="V1214" s="5">
        <v>43697</v>
      </c>
      <c r="W1214" s="5">
        <v>43628</v>
      </c>
      <c r="X1214" s="1">
        <v>7950000</v>
      </c>
      <c r="Y1214" s="1">
        <v>7950000</v>
      </c>
      <c r="Z1214" s="5">
        <v>43628</v>
      </c>
      <c r="AA1214" s="1">
        <v>6700000</v>
      </c>
      <c r="AB1214" s="1" t="s">
        <v>204</v>
      </c>
      <c r="AC1214" s="5">
        <v>43642</v>
      </c>
      <c r="AF1214" s="1">
        <v>10024</v>
      </c>
      <c r="AI1214" s="1" t="s">
        <v>67</v>
      </c>
      <c r="AJ1214" s="1">
        <v>1908</v>
      </c>
      <c r="AK1214" s="1" t="s">
        <v>81</v>
      </c>
      <c r="AL1214" s="1">
        <v>213</v>
      </c>
    </row>
    <row r="1215" spans="1:38" x14ac:dyDescent="0.2">
      <c r="A1215" s="2" t="str">
        <f>HYPERLINK("https://www.compass.com/listing/75-kenmare-street-unit-6f-manhattan-ny-10012/841559819143446857/","75 Kenmare St, Unit 6F")</f>
        <v>75 Kenmare St, Unit 6F</v>
      </c>
      <c r="B1215" s="2" t="str">
        <f>HYPERLINK("https://www.compass.com/building/75-kenmare-street-manhattan-ny/292810164757628581/","75 Kenmare Street")</f>
        <v>75 Kenmare Street</v>
      </c>
      <c r="C1215" s="1" t="s">
        <v>118</v>
      </c>
      <c r="D1215" s="1" t="s">
        <v>41</v>
      </c>
      <c r="E1215" s="3">
        <v>5700000</v>
      </c>
      <c r="F1215" s="1">
        <v>2858.5757271815401</v>
      </c>
      <c r="H1215" s="1">
        <v>3</v>
      </c>
      <c r="J1215" s="1">
        <v>3.5</v>
      </c>
      <c r="M1215" s="4">
        <v>1994</v>
      </c>
      <c r="N1215" s="1">
        <v>2213</v>
      </c>
      <c r="O1215" s="1">
        <v>3950</v>
      </c>
      <c r="P1215" s="1">
        <v>1737</v>
      </c>
      <c r="S1215" s="1" t="s">
        <v>42</v>
      </c>
      <c r="T1215" s="1" t="s">
        <v>203</v>
      </c>
      <c r="V1215" s="5">
        <v>44415</v>
      </c>
      <c r="W1215" s="5">
        <v>43810</v>
      </c>
      <c r="X1215" s="1">
        <v>5700000</v>
      </c>
      <c r="Y1215" s="1">
        <v>5700000</v>
      </c>
      <c r="Z1215" s="5">
        <v>43810</v>
      </c>
      <c r="AA1215" s="1">
        <v>5700000</v>
      </c>
      <c r="AB1215" s="1" t="s">
        <v>204</v>
      </c>
      <c r="AC1215" s="5">
        <v>44049</v>
      </c>
      <c r="AF1215" s="1">
        <v>10012</v>
      </c>
      <c r="AI1215" s="1" t="s">
        <v>76</v>
      </c>
      <c r="AJ1215" s="1">
        <v>2017</v>
      </c>
      <c r="AK1215" s="1" t="s">
        <v>46</v>
      </c>
      <c r="AL1215" s="1">
        <v>38</v>
      </c>
    </row>
    <row r="1216" spans="1:38" x14ac:dyDescent="0.2">
      <c r="A1216" s="2" t="str">
        <f>HYPERLINK("https://www.compass.com/listing/225-west-86th-street-unit-110-manhattan-ny-10024/29508819231016241/","225 W 86th St, Unit 110")</f>
        <v>225 W 86th St, Unit 110</v>
      </c>
      <c r="B1216" s="2" t="str">
        <f t="shared" ref="B1216:B1217" si="221">HYPERLINK("https://www.compass.com/building/the-belnord-manhattan-ny/292869672083214101/","The Belnord")</f>
        <v>The Belnord</v>
      </c>
      <c r="C1216" s="1" t="s">
        <v>47</v>
      </c>
      <c r="D1216" s="1" t="s">
        <v>41</v>
      </c>
      <c r="E1216" s="3">
        <v>5200000</v>
      </c>
      <c r="F1216" s="1">
        <v>2129.40212940212</v>
      </c>
      <c r="G1216" s="1">
        <v>6</v>
      </c>
      <c r="H1216" s="1">
        <v>3</v>
      </c>
      <c r="I1216" s="1">
        <v>4</v>
      </c>
      <c r="J1216" s="1">
        <v>3.5</v>
      </c>
      <c r="K1216" s="1">
        <v>3</v>
      </c>
      <c r="L1216" s="1">
        <v>1</v>
      </c>
      <c r="M1216" s="4">
        <v>2442</v>
      </c>
      <c r="N1216" s="1">
        <v>2112</v>
      </c>
      <c r="O1216" s="1">
        <v>5338</v>
      </c>
      <c r="P1216" s="1">
        <v>3226</v>
      </c>
      <c r="Q1216" s="1" t="s">
        <v>42</v>
      </c>
      <c r="S1216" s="1" t="s">
        <v>42</v>
      </c>
      <c r="T1216" s="1" t="s">
        <v>203</v>
      </c>
      <c r="U1216" s="1">
        <v>330</v>
      </c>
      <c r="V1216" s="5">
        <v>44109</v>
      </c>
      <c r="W1216" s="5">
        <v>43279</v>
      </c>
      <c r="X1216" s="1">
        <v>5495000</v>
      </c>
      <c r="Y1216" s="1">
        <v>5495000</v>
      </c>
      <c r="Z1216" s="5">
        <v>43610</v>
      </c>
      <c r="AA1216" s="1">
        <v>5200000</v>
      </c>
      <c r="AB1216" s="1" t="s">
        <v>204</v>
      </c>
      <c r="AC1216" s="5">
        <v>44099</v>
      </c>
      <c r="AF1216" s="1">
        <v>10024</v>
      </c>
      <c r="AI1216" s="1" t="s">
        <v>67</v>
      </c>
      <c r="AJ1216" s="1">
        <v>1908</v>
      </c>
      <c r="AK1216" s="1" t="s">
        <v>81</v>
      </c>
      <c r="AL1216" s="1">
        <v>213</v>
      </c>
    </row>
    <row r="1217" spans="1:38" x14ac:dyDescent="0.2">
      <c r="A1217" s="2" t="str">
        <f>HYPERLINK("https://www.compass.com/listing/225-west-86th-street-unit-416-manhattan-ny-10024/318038279408334897/","225 W 86th St, Unit 416")</f>
        <v>225 W 86th St, Unit 416</v>
      </c>
      <c r="B1217" s="2" t="str">
        <f t="shared" si="221"/>
        <v>The Belnord</v>
      </c>
      <c r="C1217" s="1" t="s">
        <v>47</v>
      </c>
      <c r="D1217" s="1" t="s">
        <v>41</v>
      </c>
      <c r="E1217" s="3">
        <v>5915000</v>
      </c>
      <c r="F1217" s="1">
        <v>2598.8576449912098</v>
      </c>
      <c r="G1217" s="1">
        <v>8.5</v>
      </c>
      <c r="H1217" s="1">
        <v>3</v>
      </c>
      <c r="I1217" s="1">
        <v>4</v>
      </c>
      <c r="J1217" s="1">
        <v>3.5</v>
      </c>
      <c r="K1217" s="1">
        <v>3</v>
      </c>
      <c r="L1217" s="1">
        <v>1</v>
      </c>
      <c r="M1217" s="4">
        <v>2276</v>
      </c>
      <c r="N1217" s="1">
        <v>1969</v>
      </c>
      <c r="O1217" s="1">
        <v>4982</v>
      </c>
      <c r="P1217" s="1">
        <v>3013</v>
      </c>
      <c r="Q1217" s="1" t="s">
        <v>42</v>
      </c>
      <c r="S1217" s="1" t="s">
        <v>42</v>
      </c>
      <c r="T1217" s="1" t="s">
        <v>203</v>
      </c>
      <c r="V1217" s="5">
        <v>44218</v>
      </c>
      <c r="W1217" s="5">
        <v>43690</v>
      </c>
      <c r="X1217" s="1">
        <v>6130000</v>
      </c>
      <c r="Y1217" s="1">
        <v>6130000</v>
      </c>
      <c r="Z1217" s="5">
        <v>43691</v>
      </c>
      <c r="AA1217" s="1">
        <v>5915000</v>
      </c>
      <c r="AB1217" s="1" t="s">
        <v>204</v>
      </c>
      <c r="AC1217" s="5">
        <v>44215</v>
      </c>
      <c r="AF1217" s="1">
        <v>10024</v>
      </c>
      <c r="AI1217" s="1" t="s">
        <v>67</v>
      </c>
      <c r="AJ1217" s="1">
        <v>1908</v>
      </c>
      <c r="AK1217" s="1" t="s">
        <v>81</v>
      </c>
      <c r="AL1217" s="1">
        <v>213</v>
      </c>
    </row>
    <row r="1218" spans="1:38" x14ac:dyDescent="0.2">
      <c r="A1218" s="2" t="str">
        <f>HYPERLINK("https://www.compass.com/listing/272-west-86th-street-unit-4w-manhattan-ny-10024/29400770294079665/","272 W 86th St, Unit 4W")</f>
        <v>272 W 86th St, Unit 4W</v>
      </c>
      <c r="B1218" s="2" t="str">
        <f>HYPERLINK("https://www.compass.com/building/272-w-86th-st-manhattan-ny-10024/281964694468640149/","272 W 86th St")</f>
        <v>272 W 86th St</v>
      </c>
      <c r="C1218" s="1" t="s">
        <v>47</v>
      </c>
      <c r="D1218" s="1" t="s">
        <v>41</v>
      </c>
      <c r="E1218" s="3">
        <v>4730280</v>
      </c>
      <c r="F1218" s="1">
        <v>1867.4615080931701</v>
      </c>
      <c r="G1218" s="1">
        <v>6</v>
      </c>
      <c r="H1218" s="1">
        <v>4</v>
      </c>
      <c r="I1218" s="1">
        <v>3</v>
      </c>
      <c r="M1218" s="4">
        <v>2533</v>
      </c>
      <c r="N1218" s="1">
        <v>3348</v>
      </c>
      <c r="O1218" s="1">
        <v>5908</v>
      </c>
      <c r="P1218" s="1">
        <v>2560</v>
      </c>
      <c r="Q1218" s="1" t="s">
        <v>42</v>
      </c>
      <c r="S1218" s="1" t="s">
        <v>42</v>
      </c>
      <c r="T1218" s="1" t="s">
        <v>203</v>
      </c>
      <c r="U1218" s="1">
        <v>101</v>
      </c>
      <c r="V1218" s="5">
        <v>43649</v>
      </c>
      <c r="W1218" s="5">
        <v>42907</v>
      </c>
      <c r="X1218" s="1">
        <v>4750000</v>
      </c>
      <c r="Y1218" s="1">
        <v>4750000</v>
      </c>
      <c r="Z1218" s="5">
        <v>43008</v>
      </c>
      <c r="AA1218" s="1">
        <v>4730280</v>
      </c>
      <c r="AB1218" s="1" t="s">
        <v>937</v>
      </c>
      <c r="AC1218" s="5">
        <v>43060</v>
      </c>
      <c r="AF1218" s="1">
        <v>10024</v>
      </c>
      <c r="AJ1218" s="1">
        <v>1895</v>
      </c>
      <c r="AK1218" s="1" t="s">
        <v>87</v>
      </c>
      <c r="AL1218" s="1">
        <v>7</v>
      </c>
    </row>
    <row r="1219" spans="1:38" x14ac:dyDescent="0.2">
      <c r="A1219" s="2" t="str">
        <f>HYPERLINK("https://www.compass.com/listing/75-kenmare-street-unit-6d-manhattan-ny-10012/274558819839900465/","75 Kenmare St, Unit 6D")</f>
        <v>75 Kenmare St, Unit 6D</v>
      </c>
      <c r="B1219" s="2" t="str">
        <f>HYPERLINK("https://www.compass.com/building/75-kenmare-street-manhattan-ny/292810164757628581/","75 Kenmare Street")</f>
        <v>75 Kenmare Street</v>
      </c>
      <c r="C1219" s="1" t="s">
        <v>118</v>
      </c>
      <c r="D1219" s="1" t="s">
        <v>41</v>
      </c>
      <c r="E1219" s="3">
        <v>4400000</v>
      </c>
      <c r="F1219" s="1">
        <v>2456.7280848687801</v>
      </c>
      <c r="G1219" s="1">
        <v>5.5</v>
      </c>
      <c r="H1219" s="1">
        <v>3</v>
      </c>
      <c r="I1219" s="1">
        <v>4</v>
      </c>
      <c r="J1219" s="1">
        <v>3.5</v>
      </c>
      <c r="K1219" s="1">
        <v>3</v>
      </c>
      <c r="L1219" s="1">
        <v>1</v>
      </c>
      <c r="M1219" s="4">
        <v>1791</v>
      </c>
      <c r="N1219" s="1">
        <v>1953</v>
      </c>
      <c r="O1219" s="1">
        <v>3779</v>
      </c>
      <c r="P1219" s="1">
        <v>1826</v>
      </c>
      <c r="Q1219" s="1" t="s">
        <v>42</v>
      </c>
      <c r="S1219" s="1" t="s">
        <v>42</v>
      </c>
      <c r="T1219" s="1" t="s">
        <v>203</v>
      </c>
      <c r="U1219" s="1">
        <v>1230</v>
      </c>
      <c r="V1219" s="5">
        <v>44427</v>
      </c>
      <c r="W1219" s="5">
        <v>42773</v>
      </c>
      <c r="X1219" s="1">
        <v>5250000</v>
      </c>
      <c r="Y1219" s="1">
        <v>4995000</v>
      </c>
      <c r="Z1219" s="5">
        <v>44098</v>
      </c>
      <c r="AA1219" s="1">
        <v>4400000</v>
      </c>
      <c r="AB1219" s="1" t="s">
        <v>938</v>
      </c>
      <c r="AC1219" s="5">
        <v>44109</v>
      </c>
      <c r="AF1219" s="1">
        <v>10012</v>
      </c>
      <c r="AI1219" s="1" t="s">
        <v>76</v>
      </c>
      <c r="AJ1219" s="1">
        <v>2017</v>
      </c>
      <c r="AK1219" s="1" t="s">
        <v>121</v>
      </c>
      <c r="AL1219" s="1">
        <v>38</v>
      </c>
    </row>
    <row r="1220" spans="1:38" x14ac:dyDescent="0.2">
      <c r="A1220" s="2" t="str">
        <f>HYPERLINK("https://www.compass.com/listing/225-west-86th-street-unit-204-manhattan-ny-10024/160816087456394705/","225 W 86th St, Unit 204")</f>
        <v>225 W 86th St, Unit 204</v>
      </c>
      <c r="B1220" s="2" t="str">
        <f>HYPERLINK("https://www.compass.com/building/the-belnord-manhattan-ny/292869672083214101/","The Belnord")</f>
        <v>The Belnord</v>
      </c>
      <c r="C1220" s="1" t="s">
        <v>47</v>
      </c>
      <c r="D1220" s="1" t="s">
        <v>41</v>
      </c>
      <c r="E1220" s="3">
        <v>6850000</v>
      </c>
      <c r="F1220" s="1">
        <v>2188.4984025559102</v>
      </c>
      <c r="G1220" s="1">
        <v>10</v>
      </c>
      <c r="H1220" s="1">
        <v>4</v>
      </c>
      <c r="I1220" s="1">
        <v>5</v>
      </c>
      <c r="J1220" s="1">
        <v>4.5</v>
      </c>
      <c r="K1220" s="1">
        <v>4</v>
      </c>
      <c r="L1220" s="1">
        <v>1</v>
      </c>
      <c r="M1220" s="4">
        <v>3130</v>
      </c>
      <c r="N1220" s="1">
        <v>2638</v>
      </c>
      <c r="O1220" s="1">
        <v>6753</v>
      </c>
      <c r="P1220" s="1">
        <v>4115</v>
      </c>
      <c r="Q1220" s="1" t="s">
        <v>42</v>
      </c>
      <c r="S1220" s="1" t="s">
        <v>42</v>
      </c>
      <c r="T1220" s="1" t="s">
        <v>203</v>
      </c>
      <c r="V1220" s="5">
        <v>44010</v>
      </c>
      <c r="AA1220" s="1">
        <v>6850000</v>
      </c>
      <c r="AB1220" s="1" t="s">
        <v>204</v>
      </c>
      <c r="AC1220" s="5">
        <v>43455</v>
      </c>
      <c r="AF1220" s="1">
        <v>10024</v>
      </c>
      <c r="AI1220" s="1" t="s">
        <v>67</v>
      </c>
      <c r="AJ1220" s="1">
        <v>1908</v>
      </c>
      <c r="AK1220" s="1" t="s">
        <v>81</v>
      </c>
      <c r="AL1220" s="1">
        <v>213</v>
      </c>
    </row>
    <row r="1221" spans="1:38" x14ac:dyDescent="0.2">
      <c r="A1221" s="2" t="str">
        <f>HYPERLINK("https://www.compass.com/listing/111-leroy-street-unit-9-manhattan-ny-10014/802609666630461417/","111 Leroy St, Unit 9")</f>
        <v>111 Leroy St, Unit 9</v>
      </c>
      <c r="B1221" s="2" t="str">
        <f>HYPERLINK("https://www.compass.com/building/111-leroy-st-manhattan-ny-10014/281921905882074869/","111 Leroy St")</f>
        <v>111 Leroy St</v>
      </c>
      <c r="C1221" s="1" t="s">
        <v>68</v>
      </c>
      <c r="D1221" s="1" t="s">
        <v>41</v>
      </c>
      <c r="E1221" s="3">
        <v>5575000</v>
      </c>
      <c r="F1221" s="1">
        <v>2294.2386831275699</v>
      </c>
      <c r="H1221" s="1">
        <v>3</v>
      </c>
      <c r="J1221" s="1">
        <v>3</v>
      </c>
      <c r="K1221" s="1">
        <v>3</v>
      </c>
      <c r="M1221" s="4">
        <v>2430</v>
      </c>
      <c r="N1221" s="1">
        <v>3852</v>
      </c>
      <c r="O1221" s="1">
        <v>7134</v>
      </c>
      <c r="P1221" s="1">
        <v>3282</v>
      </c>
      <c r="Q1221" s="1" t="s">
        <v>42</v>
      </c>
      <c r="S1221" s="1" t="s">
        <v>42</v>
      </c>
      <c r="T1221" s="1" t="s">
        <v>203</v>
      </c>
      <c r="AA1221" s="1">
        <v>5575000</v>
      </c>
      <c r="AB1221" s="1" t="s">
        <v>939</v>
      </c>
      <c r="AC1221" s="5">
        <v>44340</v>
      </c>
      <c r="AF1221" s="1">
        <v>10014</v>
      </c>
      <c r="AI1221" s="1" t="s">
        <v>76</v>
      </c>
      <c r="AJ1221" s="1">
        <v>2019</v>
      </c>
      <c r="AK1221" s="1" t="s">
        <v>121</v>
      </c>
      <c r="AL1221" s="1">
        <v>13</v>
      </c>
    </row>
    <row r="1222" spans="1:38" x14ac:dyDescent="0.2">
      <c r="A1222" s="2" t="str">
        <f>HYPERLINK("https://www.compass.com/listing/10-greene-street-unit-3-manhattan-ny-10013/203376534818420561/","10 Greene St, Unit 3")</f>
        <v>10 Greene St, Unit 3</v>
      </c>
      <c r="B1222" s="2" t="str">
        <f>HYPERLINK("https://www.compass.com/building/10-greene-st-manhattan-ny-10013/281916365315538933/","10 Greene St")</f>
        <v>10 Greene St</v>
      </c>
      <c r="C1222" s="1" t="s">
        <v>913</v>
      </c>
      <c r="D1222" s="1" t="s">
        <v>41</v>
      </c>
      <c r="E1222" s="3">
        <v>4511700</v>
      </c>
      <c r="F1222" s="1">
        <v>1851.3336068937199</v>
      </c>
      <c r="G1222" s="1">
        <v>5</v>
      </c>
      <c r="H1222" s="1">
        <v>3</v>
      </c>
      <c r="I1222" s="1">
        <v>3</v>
      </c>
      <c r="J1222" s="1">
        <v>3</v>
      </c>
      <c r="K1222" s="1">
        <v>3</v>
      </c>
      <c r="M1222" s="4">
        <v>2437</v>
      </c>
      <c r="N1222" s="1">
        <v>1772</v>
      </c>
      <c r="O1222" s="1">
        <v>2490</v>
      </c>
      <c r="P1222" s="1">
        <v>718</v>
      </c>
      <c r="Q1222" s="1" t="s">
        <v>42</v>
      </c>
      <c r="S1222" s="1" t="s">
        <v>940</v>
      </c>
      <c r="T1222" s="1" t="s">
        <v>203</v>
      </c>
      <c r="U1222" s="1">
        <v>203</v>
      </c>
      <c r="V1222" s="5">
        <v>43959</v>
      </c>
      <c r="W1222" s="5">
        <v>43515</v>
      </c>
      <c r="Y1222" s="1">
        <v>4995000</v>
      </c>
      <c r="Z1222" s="5">
        <v>43806</v>
      </c>
      <c r="AA1222" s="1">
        <v>4511700</v>
      </c>
      <c r="AB1222" s="1" t="s">
        <v>941</v>
      </c>
      <c r="AC1222" s="5">
        <v>43948</v>
      </c>
      <c r="AF1222" s="1">
        <v>10013</v>
      </c>
      <c r="AG1222" s="1" t="s">
        <v>942</v>
      </c>
      <c r="AJ1222" s="1">
        <v>1930</v>
      </c>
      <c r="AK1222" s="1" t="s">
        <v>61</v>
      </c>
      <c r="AL1222" s="1">
        <v>5</v>
      </c>
    </row>
    <row r="1223" spans="1:38" x14ac:dyDescent="0.2">
      <c r="A1223" s="2" t="str">
        <f>HYPERLINK("https://www.compass.com/listing/272-west-86th-street-unit-thw-manhattan-ny-10024/29400766754081585/","272 W 86th St, Unit THW")</f>
        <v>272 W 86th St, Unit THW</v>
      </c>
      <c r="B1223" s="2" t="str">
        <f>HYPERLINK("https://www.compass.com/building/272-w-86th-st-manhattan-ny-10024/281964694468640149/","272 W 86th St")</f>
        <v>272 W 86th St</v>
      </c>
      <c r="C1223" s="1" t="s">
        <v>47</v>
      </c>
      <c r="D1223" s="1" t="s">
        <v>41</v>
      </c>
      <c r="E1223" s="3">
        <v>6353500</v>
      </c>
      <c r="F1223" s="1">
        <v>1675.05931979963</v>
      </c>
      <c r="G1223" s="1">
        <v>9</v>
      </c>
      <c r="H1223" s="1">
        <v>4</v>
      </c>
      <c r="I1223" s="1">
        <v>6</v>
      </c>
      <c r="J1223" s="1">
        <v>5.5</v>
      </c>
      <c r="K1223" s="1">
        <v>5</v>
      </c>
      <c r="L1223" s="1">
        <v>1</v>
      </c>
      <c r="M1223" s="4">
        <v>3793</v>
      </c>
      <c r="N1223" s="1">
        <v>3911</v>
      </c>
      <c r="O1223" s="1">
        <v>6901</v>
      </c>
      <c r="P1223" s="1">
        <v>2990</v>
      </c>
      <c r="Q1223" s="1" t="s">
        <v>42</v>
      </c>
      <c r="S1223" s="1" t="s">
        <v>42</v>
      </c>
      <c r="T1223" s="1" t="s">
        <v>203</v>
      </c>
      <c r="U1223" s="1">
        <v>54</v>
      </c>
      <c r="V1223" s="5">
        <v>43678</v>
      </c>
      <c r="W1223" s="5">
        <v>43008</v>
      </c>
      <c r="X1223" s="1">
        <v>6750000</v>
      </c>
      <c r="Y1223" s="1">
        <v>6750000</v>
      </c>
      <c r="Z1223" s="5">
        <v>43062</v>
      </c>
      <c r="AA1223" s="1">
        <v>6353500</v>
      </c>
      <c r="AB1223" s="1" t="s">
        <v>943</v>
      </c>
      <c r="AC1223" s="5">
        <v>43188</v>
      </c>
      <c r="AF1223" s="1">
        <v>10024</v>
      </c>
      <c r="AI1223" s="1" t="s">
        <v>944</v>
      </c>
      <c r="AJ1223" s="1">
        <v>1895</v>
      </c>
      <c r="AK1223" s="1" t="s">
        <v>87</v>
      </c>
      <c r="AL1223" s="1">
        <v>7</v>
      </c>
    </row>
    <row r="1224" spans="1:38" x14ac:dyDescent="0.2">
      <c r="A1224" s="2" t="str">
        <f>HYPERLINK("https://www.compass.com/listing/260-bowery-unit-3-manhattan-ny-10012/455501894891886977/","260 Bowery, Unit 3")</f>
        <v>260 Bowery, Unit 3</v>
      </c>
      <c r="B1224" s="2" t="str">
        <f>HYPERLINK("https://www.compass.com/building/260-bowery-manhattan-ny-10012/307438183939486949/","260 Bowery")</f>
        <v>260 Bowery</v>
      </c>
      <c r="C1224" s="1" t="s">
        <v>118</v>
      </c>
      <c r="D1224" s="1" t="s">
        <v>41</v>
      </c>
      <c r="E1224" s="3">
        <v>4000000</v>
      </c>
      <c r="F1224" s="1">
        <v>1992.0318725099601</v>
      </c>
      <c r="G1224" s="1">
        <v>5</v>
      </c>
      <c r="H1224" s="1">
        <v>3</v>
      </c>
      <c r="I1224" s="1">
        <v>3</v>
      </c>
      <c r="J1224" s="1">
        <v>2.5</v>
      </c>
      <c r="K1224" s="1">
        <v>2</v>
      </c>
      <c r="L1224" s="1">
        <v>1</v>
      </c>
      <c r="M1224" s="4">
        <v>2008</v>
      </c>
      <c r="N1224" s="1">
        <v>2398</v>
      </c>
      <c r="O1224" s="1">
        <v>6472</v>
      </c>
      <c r="P1224" s="1">
        <v>4074</v>
      </c>
      <c r="Q1224" s="1" t="s">
        <v>42</v>
      </c>
      <c r="S1224" s="1" t="s">
        <v>42</v>
      </c>
      <c r="T1224" s="1" t="s">
        <v>203</v>
      </c>
      <c r="U1224" s="1">
        <v>272</v>
      </c>
      <c r="V1224" s="5">
        <v>44397</v>
      </c>
      <c r="W1224" s="5">
        <v>43880</v>
      </c>
      <c r="X1224" s="1">
        <v>4950000</v>
      </c>
      <c r="Y1224" s="1">
        <v>4950000</v>
      </c>
      <c r="Z1224" s="5">
        <v>44267</v>
      </c>
      <c r="AA1224" s="1">
        <v>4000000</v>
      </c>
      <c r="AB1224" s="1" t="s">
        <v>945</v>
      </c>
      <c r="AC1224" s="5">
        <v>44379</v>
      </c>
      <c r="AF1224" s="1">
        <v>10012</v>
      </c>
      <c r="AI1224" s="1" t="s">
        <v>113</v>
      </c>
      <c r="AJ1224" s="1">
        <v>2019</v>
      </c>
    </row>
    <row r="1225" spans="1:38" x14ac:dyDescent="0.2">
      <c r="A1225" s="2" t="str">
        <f>HYPERLINK("https://www.compass.com/listing/360-central-park-west-unit-duplexc-manhattan-ny-10025/4864735557516801473/","360 Central Park W, Unit DUPLEXC")</f>
        <v>360 Central Park W, Unit DUPLEXC</v>
      </c>
      <c r="B1225" s="2" t="str">
        <f>HYPERLINK("https://www.compass.com/building/360-central-park-west-manhattan-ny/281971555427243781/","360 Central Park West")</f>
        <v>360 Central Park West</v>
      </c>
      <c r="C1225" s="1" t="s">
        <v>47</v>
      </c>
      <c r="D1225" s="1" t="s">
        <v>41</v>
      </c>
      <c r="E1225" s="3">
        <v>4080000</v>
      </c>
      <c r="F1225" s="1">
        <v>2675.4098360655698</v>
      </c>
      <c r="G1225" s="1">
        <v>5</v>
      </c>
      <c r="H1225" s="1">
        <v>2</v>
      </c>
      <c r="I1225" s="1">
        <v>2</v>
      </c>
      <c r="J1225" s="1">
        <v>2</v>
      </c>
      <c r="M1225" s="4">
        <v>1525</v>
      </c>
      <c r="N1225" s="1">
        <v>1725</v>
      </c>
      <c r="O1225" s="1">
        <v>2841</v>
      </c>
      <c r="P1225" s="1">
        <v>1116</v>
      </c>
      <c r="Q1225" s="1" t="s">
        <v>42</v>
      </c>
      <c r="S1225" s="1" t="s">
        <v>42</v>
      </c>
      <c r="T1225" s="1" t="s">
        <v>203</v>
      </c>
      <c r="V1225" s="5">
        <v>43689</v>
      </c>
      <c r="W1225" s="5">
        <v>42273</v>
      </c>
      <c r="X1225" s="1">
        <v>4290000</v>
      </c>
      <c r="Y1225" s="1">
        <v>4080000</v>
      </c>
      <c r="Z1225" s="5">
        <v>42273</v>
      </c>
      <c r="AA1225" s="1">
        <v>4080000</v>
      </c>
      <c r="AB1225" s="1" t="s">
        <v>204</v>
      </c>
      <c r="AC1225" s="5">
        <v>43096</v>
      </c>
      <c r="AF1225" s="1">
        <v>10025</v>
      </c>
      <c r="AJ1225" s="1">
        <v>1929</v>
      </c>
      <c r="AK1225" s="1" t="s">
        <v>87</v>
      </c>
      <c r="AL1225" s="1">
        <v>126</v>
      </c>
    </row>
    <row r="1226" spans="1:38" x14ac:dyDescent="0.2">
      <c r="A1226" s="2" t="str">
        <f>HYPERLINK("https://www.compass.com/listing/272-west-86th-street-unit-3w-manhattan-ny-10024/803324423260322097/","272 W 86th St, Unit 3W")</f>
        <v>272 W 86th St, Unit 3W</v>
      </c>
      <c r="B1226" s="2" t="str">
        <f t="shared" ref="B1226:B1227" si="222">HYPERLINK("https://www.compass.com/building/272-w-86th-st-manhattan-ny-10024/281964694468640149/","272 W 86th St")</f>
        <v>272 W 86th St</v>
      </c>
      <c r="C1226" s="1" t="s">
        <v>47</v>
      </c>
      <c r="D1226" s="1" t="s">
        <v>41</v>
      </c>
      <c r="E1226" s="3">
        <v>4582125</v>
      </c>
      <c r="F1226" s="1">
        <v>1793.3953033268101</v>
      </c>
      <c r="G1226" s="1">
        <v>6</v>
      </c>
      <c r="H1226" s="1">
        <v>4</v>
      </c>
      <c r="I1226" s="1">
        <v>3</v>
      </c>
      <c r="J1226" s="1">
        <v>3</v>
      </c>
      <c r="K1226" s="1">
        <v>3</v>
      </c>
      <c r="M1226" s="4">
        <v>2555</v>
      </c>
      <c r="N1226" s="1">
        <v>3292</v>
      </c>
      <c r="O1226" s="1">
        <v>5809</v>
      </c>
      <c r="P1226" s="1">
        <v>2517</v>
      </c>
      <c r="Q1226" s="1" t="s">
        <v>42</v>
      </c>
      <c r="S1226" s="1" t="s">
        <v>42</v>
      </c>
      <c r="T1226" s="1" t="s">
        <v>203</v>
      </c>
      <c r="U1226" s="1">
        <v>546</v>
      </c>
      <c r="V1226" s="5">
        <v>43678</v>
      </c>
      <c r="W1226" s="5">
        <v>42500</v>
      </c>
      <c r="X1226" s="1">
        <v>5850000</v>
      </c>
      <c r="Y1226" s="1">
        <v>5850000</v>
      </c>
      <c r="AA1226" s="1">
        <v>4582125</v>
      </c>
      <c r="AB1226" s="1" t="s">
        <v>946</v>
      </c>
      <c r="AC1226" s="5">
        <v>43046</v>
      </c>
      <c r="AF1226" s="1">
        <v>10024</v>
      </c>
      <c r="AJ1226" s="1">
        <v>1895</v>
      </c>
      <c r="AK1226" s="1" t="s">
        <v>87</v>
      </c>
      <c r="AL1226" s="1">
        <v>7</v>
      </c>
    </row>
    <row r="1227" spans="1:38" x14ac:dyDescent="0.2">
      <c r="A1227" s="2" t="str">
        <f>HYPERLINK("https://www.compass.com/listing/272-west-86th-street-manhattan-ny-10024/803363568481145377/","272 W 86th St")</f>
        <v>272 W 86th St</v>
      </c>
      <c r="B1227" s="2" t="str">
        <f t="shared" si="222"/>
        <v>272 W 86th St</v>
      </c>
      <c r="C1227" s="1" t="s">
        <v>47</v>
      </c>
      <c r="D1227" s="1" t="s">
        <v>41</v>
      </c>
      <c r="E1227" s="3">
        <v>5478000</v>
      </c>
      <c r="F1227" s="1">
        <v>1609.7560975609699</v>
      </c>
      <c r="G1227" s="1">
        <v>8</v>
      </c>
      <c r="H1227" s="1">
        <v>4</v>
      </c>
      <c r="I1227" s="1">
        <v>5</v>
      </c>
      <c r="J1227" s="1">
        <v>4.5</v>
      </c>
      <c r="K1227" s="1">
        <v>4</v>
      </c>
      <c r="L1227" s="1">
        <v>1</v>
      </c>
      <c r="M1227" s="4">
        <v>3403</v>
      </c>
      <c r="N1227" s="1">
        <v>3461</v>
      </c>
      <c r="O1227" s="1">
        <v>6107</v>
      </c>
      <c r="P1227" s="1">
        <v>2646</v>
      </c>
      <c r="Q1227" s="1" t="s">
        <v>42</v>
      </c>
      <c r="S1227" s="1" t="s">
        <v>42</v>
      </c>
      <c r="T1227" s="1" t="s">
        <v>203</v>
      </c>
      <c r="U1227" s="1">
        <v>672</v>
      </c>
      <c r="V1227" s="5">
        <v>43678</v>
      </c>
      <c r="W1227" s="5">
        <v>42500</v>
      </c>
      <c r="X1227" s="1">
        <v>6475000</v>
      </c>
      <c r="Y1227" s="1">
        <v>6475000</v>
      </c>
      <c r="AA1227" s="1">
        <v>5478000</v>
      </c>
      <c r="AB1227" s="1" t="s">
        <v>919</v>
      </c>
      <c r="AC1227" s="5">
        <v>43172</v>
      </c>
      <c r="AF1227" s="1">
        <v>10024</v>
      </c>
      <c r="AI1227" s="1" t="s">
        <v>403</v>
      </c>
      <c r="AJ1227" s="1">
        <v>1895</v>
      </c>
      <c r="AK1227" s="1" t="s">
        <v>87</v>
      </c>
      <c r="AL1227" s="1">
        <v>7</v>
      </c>
    </row>
    <row r="1228" spans="1:38" x14ac:dyDescent="0.2">
      <c r="A1228" s="2" t="str">
        <f>HYPERLINK("https://www.compass.com/listing/40-east-72nd-street-unit-3-manhattan-ny-10021/29411382210378049/","40 E 72nd St, Unit 3")</f>
        <v>40 E 72nd St, Unit 3</v>
      </c>
      <c r="B1228" s="2" t="str">
        <f t="shared" ref="B1228:B1230" si="223">HYPERLINK("https://www.compass.com/building/40-e-72nd-st-manhattan-ny-10021/281950881342095285/","40 E 72nd St")</f>
        <v>40 E 72nd St</v>
      </c>
      <c r="C1228" s="1" t="s">
        <v>53</v>
      </c>
      <c r="D1228" s="1" t="s">
        <v>41</v>
      </c>
      <c r="E1228" s="3">
        <v>11205841</v>
      </c>
      <c r="F1228" s="1">
        <v>3577.8548052362698</v>
      </c>
      <c r="G1228" s="1">
        <v>6</v>
      </c>
      <c r="H1228" s="1">
        <v>3</v>
      </c>
      <c r="I1228" s="1">
        <v>4</v>
      </c>
      <c r="J1228" s="1">
        <v>0.5</v>
      </c>
      <c r="L1228" s="1">
        <v>1</v>
      </c>
      <c r="M1228" s="4">
        <v>3132</v>
      </c>
      <c r="N1228" s="1">
        <v>3305</v>
      </c>
      <c r="O1228" s="1">
        <v>6610</v>
      </c>
      <c r="P1228" s="1">
        <v>3305</v>
      </c>
      <c r="Q1228" s="1" t="s">
        <v>42</v>
      </c>
      <c r="S1228" s="1" t="s">
        <v>42</v>
      </c>
      <c r="T1228" s="1" t="s">
        <v>203</v>
      </c>
      <c r="U1228" s="1">
        <v>218</v>
      </c>
      <c r="V1228" s="5">
        <v>43267</v>
      </c>
      <c r="W1228" s="5">
        <v>42669</v>
      </c>
      <c r="X1228" s="1">
        <v>11650000</v>
      </c>
      <c r="Y1228" s="1">
        <v>11650000</v>
      </c>
      <c r="AA1228" s="1">
        <v>11205841.25</v>
      </c>
      <c r="AB1228" s="1" t="s">
        <v>891</v>
      </c>
      <c r="AC1228" s="5">
        <v>42887</v>
      </c>
      <c r="AF1228" s="1">
        <v>10021</v>
      </c>
      <c r="AI1228" s="1" t="s">
        <v>889</v>
      </c>
      <c r="AJ1228" s="1">
        <v>1930</v>
      </c>
      <c r="AK1228" s="1" t="s">
        <v>87</v>
      </c>
      <c r="AL1228" s="1">
        <v>6</v>
      </c>
    </row>
    <row r="1229" spans="1:38" x14ac:dyDescent="0.2">
      <c r="A1229" s="2" t="str">
        <f>HYPERLINK("https://www.compass.com/listing/40-east-72nd-street-unit-4-manhattan-ny-10021/29411382738940993/","40 E 72nd St, Unit 4")</f>
        <v>40 E 72nd St, Unit 4</v>
      </c>
      <c r="B1229" s="2" t="str">
        <f t="shared" si="223"/>
        <v>40 E 72nd St</v>
      </c>
      <c r="C1229" s="1" t="s">
        <v>53</v>
      </c>
      <c r="D1229" s="1" t="s">
        <v>41</v>
      </c>
      <c r="E1229" s="3">
        <v>11900000</v>
      </c>
      <c r="F1229" s="1">
        <v>3799.4891443167298</v>
      </c>
      <c r="G1229" s="1">
        <v>6</v>
      </c>
      <c r="H1229" s="1">
        <v>3</v>
      </c>
      <c r="I1229" s="1">
        <v>4</v>
      </c>
      <c r="J1229" s="1">
        <v>0.5</v>
      </c>
      <c r="L1229" s="1">
        <v>1</v>
      </c>
      <c r="M1229" s="4">
        <v>3132</v>
      </c>
      <c r="N1229" s="1">
        <v>5337</v>
      </c>
      <c r="O1229" s="1">
        <v>8713</v>
      </c>
      <c r="P1229" s="1">
        <v>3376</v>
      </c>
      <c r="Q1229" s="1" t="s">
        <v>42</v>
      </c>
      <c r="S1229" s="1" t="s">
        <v>42</v>
      </c>
      <c r="T1229" s="1" t="s">
        <v>203</v>
      </c>
      <c r="V1229" s="5">
        <v>43267</v>
      </c>
      <c r="W1229" s="5">
        <v>42527</v>
      </c>
      <c r="X1229" s="1">
        <v>11900000</v>
      </c>
      <c r="AB1229" s="1" t="s">
        <v>204</v>
      </c>
      <c r="AF1229" s="1">
        <v>10021</v>
      </c>
      <c r="AI1229" s="1" t="s">
        <v>58</v>
      </c>
      <c r="AJ1229" s="1">
        <v>1930</v>
      </c>
      <c r="AK1229" s="1" t="s">
        <v>55</v>
      </c>
      <c r="AL1229" s="1">
        <v>6</v>
      </c>
    </row>
    <row r="1230" spans="1:38" x14ac:dyDescent="0.2">
      <c r="A1230" s="2" t="str">
        <f>HYPERLINK("https://www.compass.com/listing/40-east-72nd-street-unit-5-manhattan-ny-10021/29411383166679521/","40 E 72nd St, Unit 5")</f>
        <v>40 E 72nd St, Unit 5</v>
      </c>
      <c r="B1230" s="2" t="str">
        <f t="shared" si="223"/>
        <v>40 E 72nd St</v>
      </c>
      <c r="C1230" s="1" t="s">
        <v>53</v>
      </c>
      <c r="D1230" s="1" t="s">
        <v>41</v>
      </c>
      <c r="E1230" s="3">
        <v>11150000</v>
      </c>
      <c r="F1230" s="1">
        <v>3560.0255427841598</v>
      </c>
      <c r="G1230" s="1">
        <v>6</v>
      </c>
      <c r="H1230" s="1">
        <v>3</v>
      </c>
      <c r="I1230" s="1">
        <v>4</v>
      </c>
      <c r="J1230" s="1">
        <v>0.5</v>
      </c>
      <c r="L1230" s="1">
        <v>1</v>
      </c>
      <c r="M1230" s="4">
        <v>3132</v>
      </c>
      <c r="N1230" s="1">
        <v>5449</v>
      </c>
      <c r="O1230" s="1">
        <v>8896</v>
      </c>
      <c r="P1230" s="1">
        <v>3447</v>
      </c>
      <c r="Q1230" s="1" t="s">
        <v>42</v>
      </c>
      <c r="S1230" s="1" t="s">
        <v>42</v>
      </c>
      <c r="T1230" s="1" t="s">
        <v>203</v>
      </c>
      <c r="V1230" s="5">
        <v>43267</v>
      </c>
      <c r="W1230" s="5">
        <v>42292</v>
      </c>
      <c r="X1230" s="1">
        <v>12150000</v>
      </c>
      <c r="AB1230" s="1" t="s">
        <v>204</v>
      </c>
      <c r="AF1230" s="1">
        <v>10021</v>
      </c>
      <c r="AI1230" s="1" t="s">
        <v>141</v>
      </c>
      <c r="AJ1230" s="1">
        <v>1930</v>
      </c>
      <c r="AK1230" s="1" t="s">
        <v>87</v>
      </c>
      <c r="AL1230" s="1">
        <v>6</v>
      </c>
    </row>
    <row r="1231" spans="1:38" x14ac:dyDescent="0.2">
      <c r="A1231" s="2" t="str">
        <f>HYPERLINK("https://www.compass.com/listing/75-kenmare-street-unit-phb-manhattan-ny-10012/673340918740372081/","75 Kenmare St, Unit PHB")</f>
        <v>75 Kenmare St, Unit PHB</v>
      </c>
      <c r="B1231" s="2" t="str">
        <f>HYPERLINK("https://www.compass.com/building/75-kenmare-street-manhattan-ny/292810164757628581/","75 Kenmare Street")</f>
        <v>75 Kenmare Street</v>
      </c>
      <c r="C1231" s="1" t="s">
        <v>118</v>
      </c>
      <c r="D1231" s="1" t="s">
        <v>41</v>
      </c>
      <c r="E1231" s="3">
        <v>6565000</v>
      </c>
      <c r="F1231" s="1">
        <v>3114.3263757115701</v>
      </c>
      <c r="G1231" s="1">
        <v>6</v>
      </c>
      <c r="H1231" s="1">
        <v>3</v>
      </c>
      <c r="I1231" s="1">
        <v>3</v>
      </c>
      <c r="J1231" s="1">
        <v>2.5</v>
      </c>
      <c r="K1231" s="1">
        <v>2</v>
      </c>
      <c r="L1231" s="1">
        <v>1</v>
      </c>
      <c r="M1231" s="4">
        <v>2108</v>
      </c>
      <c r="N1231" s="1">
        <v>2623</v>
      </c>
      <c r="O1231" s="1">
        <v>5073</v>
      </c>
      <c r="P1231" s="1">
        <v>2450</v>
      </c>
      <c r="Q1231" s="1" t="s">
        <v>42</v>
      </c>
      <c r="S1231" s="1" t="s">
        <v>42</v>
      </c>
      <c r="T1231" s="1" t="s">
        <v>203</v>
      </c>
      <c r="U1231" s="1">
        <v>1433</v>
      </c>
      <c r="V1231" s="5">
        <v>44350</v>
      </c>
      <c r="W1231" s="5">
        <v>42773</v>
      </c>
      <c r="Z1231" s="5">
        <v>44300</v>
      </c>
      <c r="AA1231" s="1">
        <v>6565000</v>
      </c>
      <c r="AB1231" s="1" t="s">
        <v>947</v>
      </c>
      <c r="AC1231" s="5">
        <v>44341</v>
      </c>
      <c r="AF1231" s="1">
        <v>10012</v>
      </c>
      <c r="AI1231" s="1" t="s">
        <v>196</v>
      </c>
      <c r="AJ1231" s="1">
        <v>2017</v>
      </c>
      <c r="AK1231" s="1" t="s">
        <v>121</v>
      </c>
      <c r="AL1231" s="1">
        <v>38</v>
      </c>
    </row>
    <row r="1232" spans="1:38" x14ac:dyDescent="0.2">
      <c r="A1232" s="2" t="str">
        <f>HYPERLINK("https://www.compass.com/listing/175-west-95th-street-unit-11b-manhattan-ny-10025/29400323818867329/","175 W 95th St, Unit 11B")</f>
        <v>175 W 95th St, Unit 11B</v>
      </c>
      <c r="B1232" s="2" t="str">
        <f t="shared" ref="B1232:B1234" si="224">HYPERLINK("https://www.compass.com/building/175-w-95th-manhattan-ny/292876785429866517/","175 W 95th")</f>
        <v>175 W 95th</v>
      </c>
      <c r="C1232" s="1" t="s">
        <v>47</v>
      </c>
      <c r="D1232" s="1" t="s">
        <v>41</v>
      </c>
      <c r="E1232" s="3">
        <v>1272813</v>
      </c>
      <c r="F1232" s="1">
        <v>1301.4442740286299</v>
      </c>
      <c r="H1232" s="1">
        <v>2</v>
      </c>
      <c r="J1232" s="1">
        <v>1</v>
      </c>
      <c r="K1232" s="1">
        <v>1</v>
      </c>
      <c r="M1232" s="1">
        <v>978</v>
      </c>
      <c r="N1232" s="1">
        <v>1043</v>
      </c>
      <c r="O1232" s="1">
        <v>1783</v>
      </c>
      <c r="P1232" s="1">
        <v>740</v>
      </c>
      <c r="Q1232" s="1" t="s">
        <v>42</v>
      </c>
      <c r="S1232" s="1" t="s">
        <v>42</v>
      </c>
      <c r="T1232" s="1" t="s">
        <v>203</v>
      </c>
      <c r="AA1232" s="1">
        <v>1272812.5</v>
      </c>
      <c r="AB1232" s="1" t="s">
        <v>948</v>
      </c>
      <c r="AC1232" s="5">
        <v>42313</v>
      </c>
      <c r="AF1232" s="1">
        <v>10025</v>
      </c>
      <c r="AI1232" s="1" t="s">
        <v>52</v>
      </c>
      <c r="AJ1232" s="1">
        <v>1971</v>
      </c>
      <c r="AK1232" s="1" t="s">
        <v>50</v>
      </c>
      <c r="AL1232" s="1">
        <v>226</v>
      </c>
    </row>
    <row r="1233" spans="1:38" x14ac:dyDescent="0.2">
      <c r="A1233" s="2" t="str">
        <f>HYPERLINK("https://www.compass.com/listing/175-west-95th-street-unit-14b-manhattan-ny-10025/29400324112510993/","175 W 95th St, Unit 14B")</f>
        <v>175 W 95th St, Unit 14B</v>
      </c>
      <c r="B1233" s="2" t="str">
        <f t="shared" si="224"/>
        <v>175 W 95th</v>
      </c>
      <c r="C1233" s="1" t="s">
        <v>47</v>
      </c>
      <c r="D1233" s="1" t="s">
        <v>41</v>
      </c>
      <c r="E1233" s="3">
        <v>1303360</v>
      </c>
      <c r="F1233" s="1">
        <v>1332.6789366053099</v>
      </c>
      <c r="H1233" s="1">
        <v>2</v>
      </c>
      <c r="J1233" s="1">
        <v>1</v>
      </c>
      <c r="K1233" s="1">
        <v>1</v>
      </c>
      <c r="M1233" s="1">
        <v>978</v>
      </c>
      <c r="N1233" s="1">
        <v>1054</v>
      </c>
      <c r="O1233" s="1">
        <v>1937.5</v>
      </c>
      <c r="P1233" s="1">
        <v>883.5</v>
      </c>
      <c r="Q1233" s="1" t="s">
        <v>42</v>
      </c>
      <c r="S1233" s="1" t="s">
        <v>42</v>
      </c>
      <c r="T1233" s="1" t="s">
        <v>203</v>
      </c>
      <c r="AA1233" s="1">
        <v>1303360</v>
      </c>
      <c r="AB1233" s="1" t="s">
        <v>949</v>
      </c>
      <c r="AC1233" s="5">
        <v>42326</v>
      </c>
      <c r="AF1233" s="1">
        <v>10025</v>
      </c>
      <c r="AI1233" s="1" t="s">
        <v>52</v>
      </c>
      <c r="AJ1233" s="1">
        <v>1971</v>
      </c>
      <c r="AK1233" s="1" t="s">
        <v>50</v>
      </c>
      <c r="AL1233" s="1">
        <v>226</v>
      </c>
    </row>
    <row r="1234" spans="1:38" x14ac:dyDescent="0.2">
      <c r="A1234" s="2" t="str">
        <f>HYPERLINK("https://www.compass.com/listing/175-west-95th-street-unit-14f-manhattan-ny-10025/29400324817111697/","175 W 95th St, Unit 14F")</f>
        <v>175 W 95th St, Unit 14F</v>
      </c>
      <c r="B1234" s="2" t="str">
        <f t="shared" si="224"/>
        <v>175 W 95th</v>
      </c>
      <c r="C1234" s="1" t="s">
        <v>47</v>
      </c>
      <c r="D1234" s="1" t="s">
        <v>41</v>
      </c>
      <c r="E1234" s="3">
        <v>1344090</v>
      </c>
      <c r="F1234" s="1">
        <v>1416.3224446786</v>
      </c>
      <c r="H1234" s="1">
        <v>2</v>
      </c>
      <c r="J1234" s="1">
        <v>1</v>
      </c>
      <c r="K1234" s="1">
        <v>1</v>
      </c>
      <c r="M1234" s="1">
        <v>949</v>
      </c>
      <c r="N1234" s="1">
        <v>1021.48</v>
      </c>
      <c r="O1234" s="1">
        <v>1833.15</v>
      </c>
      <c r="P1234" s="1">
        <v>811.66666666666595</v>
      </c>
      <c r="Q1234" s="1" t="s">
        <v>42</v>
      </c>
      <c r="S1234" s="1" t="s">
        <v>42</v>
      </c>
      <c r="T1234" s="1" t="s">
        <v>203</v>
      </c>
      <c r="AA1234" s="1">
        <v>1344090</v>
      </c>
      <c r="AB1234" s="1" t="s">
        <v>950</v>
      </c>
      <c r="AC1234" s="5">
        <v>42324</v>
      </c>
      <c r="AF1234" s="1">
        <v>10025</v>
      </c>
      <c r="AI1234" s="1" t="s">
        <v>52</v>
      </c>
      <c r="AJ1234" s="1">
        <v>1971</v>
      </c>
      <c r="AK1234" s="1" t="s">
        <v>50</v>
      </c>
      <c r="AL1234" s="1">
        <v>226</v>
      </c>
    </row>
    <row r="1235" spans="1:38" x14ac:dyDescent="0.2">
      <c r="A1235" s="2" t="str">
        <f>HYPERLINK("https://www.compass.com/listing/225-west-86th-street-unit-m17-manhattan-ny-10024/429682264050635233/","225 W 86th St, Unit M17")</f>
        <v>225 W 86th St, Unit M17</v>
      </c>
      <c r="B1235" s="2" t="str">
        <f t="shared" ref="B1235:B1236" si="225">HYPERLINK("https://www.compass.com/building/the-belnord-manhattan-ny/292869672083214101/","The Belnord")</f>
        <v>The Belnord</v>
      </c>
      <c r="C1235" s="1" t="s">
        <v>47</v>
      </c>
      <c r="D1235" s="1" t="s">
        <v>41</v>
      </c>
      <c r="E1235" s="3">
        <v>4995000</v>
      </c>
      <c r="F1235" s="1">
        <v>2276.6636280765701</v>
      </c>
      <c r="G1235" s="1">
        <v>5</v>
      </c>
      <c r="H1235" s="1">
        <v>3</v>
      </c>
      <c r="I1235" s="1">
        <v>4</v>
      </c>
      <c r="J1235" s="1">
        <v>3.5</v>
      </c>
      <c r="K1235" s="1">
        <v>3</v>
      </c>
      <c r="L1235" s="1">
        <v>1</v>
      </c>
      <c r="M1235" s="4">
        <v>2194</v>
      </c>
      <c r="N1235" s="1">
        <v>1927</v>
      </c>
      <c r="O1235" s="1">
        <v>5127</v>
      </c>
      <c r="P1235" s="1">
        <v>3200</v>
      </c>
      <c r="Q1235" s="1" t="s">
        <v>42</v>
      </c>
      <c r="S1235" s="1" t="s">
        <v>42</v>
      </c>
      <c r="T1235" s="1" t="s">
        <v>203</v>
      </c>
      <c r="U1235" s="1">
        <v>1</v>
      </c>
      <c r="V1235" s="5">
        <v>44343</v>
      </c>
      <c r="W1235" s="5">
        <v>43843</v>
      </c>
      <c r="Y1235" s="1">
        <v>4995000</v>
      </c>
      <c r="Z1235" s="5">
        <v>43845</v>
      </c>
      <c r="AA1235" s="1">
        <v>4995000</v>
      </c>
      <c r="AB1235" s="1" t="s">
        <v>204</v>
      </c>
      <c r="AC1235" s="5">
        <v>44342</v>
      </c>
      <c r="AF1235" s="1">
        <v>10024</v>
      </c>
      <c r="AI1235" s="1" t="s">
        <v>67</v>
      </c>
      <c r="AJ1235" s="1">
        <v>1908</v>
      </c>
      <c r="AK1235" s="1" t="s">
        <v>81</v>
      </c>
      <c r="AL1235" s="1">
        <v>213</v>
      </c>
    </row>
    <row r="1236" spans="1:38" x14ac:dyDescent="0.2">
      <c r="A1236" s="2" t="str">
        <f>HYPERLINK("https://www.compass.com/listing/225-west-86th-street-unit-405-manhattan-ny-10024/624582974343787393/","225 W 86th St, Unit 405")</f>
        <v>225 W 86th St, Unit 405</v>
      </c>
      <c r="B1236" s="2" t="str">
        <f t="shared" si="225"/>
        <v>The Belnord</v>
      </c>
      <c r="C1236" s="1" t="s">
        <v>47</v>
      </c>
      <c r="D1236" s="1" t="s">
        <v>41</v>
      </c>
      <c r="E1236" s="3">
        <v>5850000</v>
      </c>
      <c r="F1236" s="1">
        <v>2220.1138519924002</v>
      </c>
      <c r="G1236" s="1">
        <v>7</v>
      </c>
      <c r="H1236" s="1">
        <v>3</v>
      </c>
      <c r="I1236" s="1">
        <v>4</v>
      </c>
      <c r="J1236" s="1">
        <v>3.5</v>
      </c>
      <c r="K1236" s="1">
        <v>3</v>
      </c>
      <c r="L1236" s="1">
        <v>1</v>
      </c>
      <c r="M1236" s="4">
        <v>2635</v>
      </c>
      <c r="N1236" s="1">
        <v>2266</v>
      </c>
      <c r="O1236" s="1">
        <v>6186</v>
      </c>
      <c r="P1236" s="1">
        <v>3920</v>
      </c>
      <c r="Q1236" s="1" t="s">
        <v>42</v>
      </c>
      <c r="S1236" s="1" t="s">
        <v>42</v>
      </c>
      <c r="T1236" s="1" t="s">
        <v>203</v>
      </c>
      <c r="V1236" s="5">
        <v>44331</v>
      </c>
      <c r="W1236" s="5">
        <v>43504</v>
      </c>
      <c r="Y1236" s="1">
        <v>6750000</v>
      </c>
      <c r="Z1236" s="5">
        <v>44114</v>
      </c>
      <c r="AA1236" s="1">
        <v>5850000</v>
      </c>
      <c r="AB1236" s="1" t="s">
        <v>204</v>
      </c>
      <c r="AC1236" s="5">
        <v>44307</v>
      </c>
      <c r="AF1236" s="1">
        <v>10024</v>
      </c>
      <c r="AI1236" s="1" t="s">
        <v>67</v>
      </c>
      <c r="AJ1236" s="1">
        <v>1908</v>
      </c>
      <c r="AK1236" s="1" t="s">
        <v>81</v>
      </c>
      <c r="AL1236" s="1">
        <v>213</v>
      </c>
    </row>
    <row r="1237" spans="1:38" x14ac:dyDescent="0.2">
      <c r="A1237" s="2" t="str">
        <f>HYPERLINK("https://www.compass.com/listing/3-east-3rd-street-unit-2-manhattan-ny-10003/841528815025020609/","3 E 3rd St, Unit 2")</f>
        <v>3 E 3rd St, Unit 2</v>
      </c>
      <c r="B1237" s="2" t="str">
        <f>HYPERLINK("https://www.compass.com/building/3-e-3rd-manhattan-ny/293533179342514101/","3 E 3rd")</f>
        <v>3 E 3rd</v>
      </c>
      <c r="C1237" s="1" t="s">
        <v>88</v>
      </c>
      <c r="D1237" s="1" t="s">
        <v>41</v>
      </c>
      <c r="E1237" s="3">
        <v>4300000</v>
      </c>
      <c r="F1237" s="1">
        <v>2301.9271948608098</v>
      </c>
      <c r="H1237" s="1">
        <v>3</v>
      </c>
      <c r="J1237" s="1">
        <v>3</v>
      </c>
      <c r="K1237" s="1">
        <v>3</v>
      </c>
      <c r="M1237" s="4">
        <v>1868</v>
      </c>
      <c r="N1237" s="1">
        <v>1157</v>
      </c>
      <c r="O1237" s="1">
        <v>4719</v>
      </c>
      <c r="P1237" s="1">
        <v>3562</v>
      </c>
      <c r="Q1237" s="1" t="s">
        <v>42</v>
      </c>
      <c r="S1237" s="1" t="s">
        <v>42</v>
      </c>
      <c r="T1237" s="1" t="s">
        <v>203</v>
      </c>
      <c r="AA1237" s="1">
        <v>4300000</v>
      </c>
      <c r="AB1237" s="1" t="s">
        <v>951</v>
      </c>
      <c r="AC1237" s="5">
        <v>43847</v>
      </c>
      <c r="AF1237" s="1">
        <v>10003</v>
      </c>
      <c r="AJ1237" s="1">
        <v>2019</v>
      </c>
      <c r="AL1237" s="1">
        <v>5</v>
      </c>
    </row>
    <row r="1238" spans="1:38" x14ac:dyDescent="0.2">
      <c r="A1238" s="2" t="str">
        <f>HYPERLINK("https://www.compass.com/listing/272-west-86th-street-unit-thw-manhattan-ny-10024/803326048024536849/","272 W 86th St, Unit THW")</f>
        <v>272 W 86th St, Unit THW</v>
      </c>
      <c r="B1238" s="2" t="str">
        <f t="shared" ref="B1238:B1240" si="226">HYPERLINK("https://www.compass.com/building/272-w-86th-st-manhattan-ny-10024/281964694468640149/","272 W 86th St")</f>
        <v>272 W 86th St</v>
      </c>
      <c r="C1238" s="1" t="s">
        <v>47</v>
      </c>
      <c r="D1238" s="1" t="s">
        <v>41</v>
      </c>
      <c r="E1238" s="3">
        <v>6353500</v>
      </c>
      <c r="F1238" s="1">
        <v>1675.05931979963</v>
      </c>
      <c r="G1238" s="1">
        <v>9</v>
      </c>
      <c r="H1238" s="1">
        <v>4</v>
      </c>
      <c r="I1238" s="1">
        <v>5</v>
      </c>
      <c r="J1238" s="1">
        <v>5</v>
      </c>
      <c r="M1238" s="4">
        <v>3793</v>
      </c>
      <c r="N1238" s="1">
        <v>3911</v>
      </c>
      <c r="O1238" s="1">
        <v>6901</v>
      </c>
      <c r="P1238" s="1">
        <v>2990</v>
      </c>
      <c r="Q1238" s="1" t="s">
        <v>42</v>
      </c>
      <c r="S1238" s="1" t="s">
        <v>42</v>
      </c>
      <c r="T1238" s="1" t="s">
        <v>203</v>
      </c>
      <c r="U1238" s="1">
        <v>54</v>
      </c>
      <c r="V1238" s="5">
        <v>43173</v>
      </c>
      <c r="W1238" s="5">
        <v>43007</v>
      </c>
      <c r="X1238" s="1">
        <v>6750000</v>
      </c>
      <c r="Y1238" s="1">
        <v>6750000</v>
      </c>
      <c r="Z1238" s="5">
        <v>43062</v>
      </c>
      <c r="AA1238" s="1">
        <v>6353500</v>
      </c>
      <c r="AB1238" s="1" t="s">
        <v>943</v>
      </c>
      <c r="AC1238" s="5">
        <v>43188</v>
      </c>
      <c r="AF1238" s="1">
        <v>10024</v>
      </c>
      <c r="AJ1238" s="1">
        <v>1895</v>
      </c>
      <c r="AK1238" s="1" t="s">
        <v>87</v>
      </c>
      <c r="AL1238" s="1">
        <v>7</v>
      </c>
    </row>
    <row r="1239" spans="1:38" x14ac:dyDescent="0.2">
      <c r="A1239" s="2" t="str">
        <f>HYPERLINK("https://www.compass.com/listing/272-west-86th-street-unit-3w-manhattan-ny-10024/29400768196922177/","272 W 86th St, Unit 3W")</f>
        <v>272 W 86th St, Unit 3W</v>
      </c>
      <c r="B1239" s="2" t="str">
        <f t="shared" si="226"/>
        <v>272 W 86th St</v>
      </c>
      <c r="C1239" s="1" t="s">
        <v>47</v>
      </c>
      <c r="D1239" s="1" t="s">
        <v>41</v>
      </c>
      <c r="E1239" s="3">
        <v>4582125</v>
      </c>
      <c r="F1239" s="1">
        <v>1793.3953033268101</v>
      </c>
      <c r="G1239" s="1">
        <v>6</v>
      </c>
      <c r="H1239" s="1">
        <v>4</v>
      </c>
      <c r="I1239" s="1">
        <v>3</v>
      </c>
      <c r="J1239" s="1">
        <v>3</v>
      </c>
      <c r="M1239" s="4">
        <v>2555</v>
      </c>
      <c r="N1239" s="1">
        <v>3292</v>
      </c>
      <c r="O1239" s="1">
        <v>5809</v>
      </c>
      <c r="P1239" s="1">
        <v>2517</v>
      </c>
      <c r="Q1239" s="1" t="s">
        <v>42</v>
      </c>
      <c r="S1239" s="1" t="s">
        <v>42</v>
      </c>
      <c r="T1239" s="1" t="s">
        <v>203</v>
      </c>
      <c r="U1239" s="1">
        <v>117</v>
      </c>
      <c r="V1239" s="5">
        <v>43649</v>
      </c>
      <c r="W1239" s="5">
        <v>42790</v>
      </c>
      <c r="X1239" s="1">
        <v>5395000</v>
      </c>
      <c r="Y1239" s="1">
        <v>4750000</v>
      </c>
      <c r="Z1239" s="5">
        <v>42907</v>
      </c>
      <c r="AA1239" s="1">
        <v>4582125</v>
      </c>
      <c r="AB1239" s="1" t="s">
        <v>946</v>
      </c>
      <c r="AC1239" s="5">
        <v>43046</v>
      </c>
      <c r="AF1239" s="1">
        <v>10024</v>
      </c>
      <c r="AJ1239" s="1">
        <v>1895</v>
      </c>
      <c r="AK1239" s="1" t="s">
        <v>87</v>
      </c>
      <c r="AL1239" s="1">
        <v>7</v>
      </c>
    </row>
    <row r="1240" spans="1:38" x14ac:dyDescent="0.2">
      <c r="A1240" s="2" t="str">
        <f>HYPERLINK("https://www.compass.com/listing/272-west-86th-street-manhattan-ny-10024/783440153224169425/","272 W 86th St")</f>
        <v>272 W 86th St</v>
      </c>
      <c r="B1240" s="2" t="str">
        <f t="shared" si="226"/>
        <v>272 W 86th St</v>
      </c>
      <c r="C1240" s="1" t="s">
        <v>47</v>
      </c>
      <c r="D1240" s="1" t="s">
        <v>41</v>
      </c>
      <c r="E1240" s="3">
        <v>5478000</v>
      </c>
      <c r="F1240" s="1">
        <v>1609.7560975609699</v>
      </c>
      <c r="G1240" s="1">
        <v>8</v>
      </c>
      <c r="H1240" s="1">
        <v>4</v>
      </c>
      <c r="I1240" s="1">
        <v>5</v>
      </c>
      <c r="J1240" s="1">
        <v>4.5</v>
      </c>
      <c r="M1240" s="4">
        <v>3403</v>
      </c>
      <c r="N1240" s="1">
        <v>3461</v>
      </c>
      <c r="O1240" s="1">
        <v>6107</v>
      </c>
      <c r="P1240" s="1">
        <v>2646</v>
      </c>
      <c r="Q1240" s="1" t="s">
        <v>42</v>
      </c>
      <c r="S1240" s="1" t="s">
        <v>42</v>
      </c>
      <c r="T1240" s="1" t="s">
        <v>203</v>
      </c>
      <c r="U1240" s="1">
        <v>226</v>
      </c>
      <c r="V1240" s="5">
        <v>43173</v>
      </c>
      <c r="W1240" s="5">
        <v>42913</v>
      </c>
      <c r="X1240" s="1">
        <v>5950000</v>
      </c>
      <c r="Y1240" s="1">
        <v>5950000</v>
      </c>
      <c r="Z1240" s="5">
        <v>43140</v>
      </c>
      <c r="AA1240" s="1">
        <v>5478000</v>
      </c>
      <c r="AB1240" s="1" t="s">
        <v>919</v>
      </c>
      <c r="AC1240" s="5">
        <v>43172</v>
      </c>
      <c r="AF1240" s="1">
        <v>10024</v>
      </c>
      <c r="AJ1240" s="1">
        <v>1895</v>
      </c>
      <c r="AK1240" s="1" t="s">
        <v>87</v>
      </c>
      <c r="AL1240" s="1">
        <v>7</v>
      </c>
    </row>
    <row r="1241" spans="1:38" x14ac:dyDescent="0.2">
      <c r="A1241" s="2" t="str">
        <f>HYPERLINK("https://www.compass.com/listing/225-west-86th-street-unit-807-manhattan-ny-10024/105634358878042977/","225 W 86th St, Unit 807")</f>
        <v>225 W 86th St, Unit 807</v>
      </c>
      <c r="B1241" s="2" t="str">
        <f>HYPERLINK("https://www.compass.com/building/the-belnord-manhattan-ny/292869672083214101/","The Belnord")</f>
        <v>The Belnord</v>
      </c>
      <c r="C1241" s="1" t="s">
        <v>47</v>
      </c>
      <c r="D1241" s="1" t="s">
        <v>41</v>
      </c>
      <c r="E1241" s="3">
        <v>4750000</v>
      </c>
      <c r="F1241" s="1">
        <v>2101.7699115044202</v>
      </c>
      <c r="G1241" s="1">
        <v>6</v>
      </c>
      <c r="H1241" s="1">
        <v>3</v>
      </c>
      <c r="I1241" s="1">
        <v>4</v>
      </c>
      <c r="J1241" s="1">
        <v>3.5</v>
      </c>
      <c r="K1241" s="1">
        <v>3</v>
      </c>
      <c r="L1241" s="1">
        <v>1</v>
      </c>
      <c r="M1241" s="4">
        <v>2260</v>
      </c>
      <c r="N1241" s="1">
        <v>1955</v>
      </c>
      <c r="O1241" s="1">
        <v>5383</v>
      </c>
      <c r="P1241" s="1">
        <v>3428</v>
      </c>
      <c r="Q1241" s="1" t="s">
        <v>42</v>
      </c>
      <c r="S1241" s="1" t="s">
        <v>42</v>
      </c>
      <c r="T1241" s="1" t="s">
        <v>203</v>
      </c>
      <c r="U1241" s="1">
        <v>386</v>
      </c>
      <c r="V1241" s="5">
        <v>43874</v>
      </c>
      <c r="W1241" s="5">
        <v>43397</v>
      </c>
      <c r="X1241" s="1">
        <v>6300000</v>
      </c>
      <c r="Y1241" s="1">
        <v>6300000</v>
      </c>
      <c r="Z1241" s="5">
        <v>43784</v>
      </c>
      <c r="AA1241" s="1">
        <v>4750000</v>
      </c>
      <c r="AB1241" s="1" t="s">
        <v>204</v>
      </c>
      <c r="AC1241" s="5">
        <v>43872</v>
      </c>
      <c r="AF1241" s="1">
        <v>10024</v>
      </c>
      <c r="AI1241" s="1" t="s">
        <v>67</v>
      </c>
      <c r="AJ1241" s="1">
        <v>1908</v>
      </c>
      <c r="AK1241" s="1" t="s">
        <v>81</v>
      </c>
      <c r="AL1241" s="1">
        <v>213</v>
      </c>
    </row>
    <row r="1242" spans="1:38" x14ac:dyDescent="0.2">
      <c r="A1242" s="2" t="str">
        <f>HYPERLINK("https://www.compass.com/listing/111-leroy-street-unit-5-manhattan-ny-10014/751884699417874457/","111 Leroy St, Unit 5")</f>
        <v>111 Leroy St, Unit 5</v>
      </c>
      <c r="B1242" s="2" t="str">
        <f>HYPERLINK("https://www.compass.com/building/111-leroy-st-manhattan-ny-10014/281921905882074869/","111 Leroy St")</f>
        <v>111 Leroy St</v>
      </c>
      <c r="C1242" s="1" t="s">
        <v>68</v>
      </c>
      <c r="D1242" s="1" t="s">
        <v>41</v>
      </c>
      <c r="E1242" s="3">
        <v>6900000</v>
      </c>
      <c r="F1242" s="1">
        <v>2047.47774480712</v>
      </c>
      <c r="H1242" s="1">
        <v>4</v>
      </c>
      <c r="J1242" s="1">
        <v>4.5</v>
      </c>
      <c r="K1242" s="1">
        <v>4</v>
      </c>
      <c r="L1242" s="1">
        <v>1</v>
      </c>
      <c r="M1242" s="4">
        <v>3370</v>
      </c>
      <c r="N1242" s="1">
        <v>3945</v>
      </c>
      <c r="O1242" s="1">
        <v>8220</v>
      </c>
      <c r="P1242" s="1">
        <v>4275</v>
      </c>
      <c r="Q1242" s="1" t="s">
        <v>42</v>
      </c>
      <c r="S1242" s="1" t="s">
        <v>42</v>
      </c>
      <c r="T1242" s="1" t="s">
        <v>203</v>
      </c>
      <c r="AA1242" s="1">
        <v>6900000</v>
      </c>
      <c r="AB1242" s="1" t="s">
        <v>952</v>
      </c>
      <c r="AC1242" s="5">
        <v>44278</v>
      </c>
      <c r="AF1242" s="1">
        <v>10014</v>
      </c>
      <c r="AI1242" s="1" t="s">
        <v>76</v>
      </c>
      <c r="AJ1242" s="1">
        <v>2019</v>
      </c>
      <c r="AK1242" s="1" t="s">
        <v>121</v>
      </c>
      <c r="AL1242" s="1">
        <v>13</v>
      </c>
    </row>
    <row r="1243" spans="1:38" x14ac:dyDescent="0.2">
      <c r="A1243" s="2" t="str">
        <f>HYPERLINK("https://www.compass.com/listing/260-bowery-unit-6-manhattan-ny-10012/627784624078482401/","260 Bowery, Unit 6")</f>
        <v>260 Bowery, Unit 6</v>
      </c>
      <c r="B1243" s="2" t="str">
        <f>HYPERLINK("https://www.compass.com/building/260-bowery-manhattan-ny-10012/307438183939486949/","260 Bowery")</f>
        <v>260 Bowery</v>
      </c>
      <c r="C1243" s="1" t="s">
        <v>118</v>
      </c>
      <c r="D1243" s="1" t="s">
        <v>41</v>
      </c>
      <c r="E1243" s="3">
        <v>4000000</v>
      </c>
      <c r="F1243" s="1">
        <v>1978.2393669634</v>
      </c>
      <c r="G1243" s="1">
        <v>5</v>
      </c>
      <c r="H1243" s="1">
        <v>3</v>
      </c>
      <c r="I1243" s="1">
        <v>3</v>
      </c>
      <c r="J1243" s="1">
        <v>2.5</v>
      </c>
      <c r="K1243" s="1">
        <v>2</v>
      </c>
      <c r="L1243" s="1">
        <v>1</v>
      </c>
      <c r="M1243" s="4">
        <v>2022</v>
      </c>
      <c r="N1243" s="1">
        <v>1733</v>
      </c>
      <c r="O1243" s="1">
        <v>4677</v>
      </c>
      <c r="P1243" s="1">
        <v>2944</v>
      </c>
      <c r="Q1243" s="1" t="s">
        <v>42</v>
      </c>
      <c r="S1243" s="1" t="s">
        <v>42</v>
      </c>
      <c r="T1243" s="1" t="s">
        <v>203</v>
      </c>
      <c r="V1243" s="5">
        <v>44323</v>
      </c>
      <c r="W1243" s="5">
        <v>44117</v>
      </c>
      <c r="X1243" s="1">
        <v>4950000</v>
      </c>
      <c r="Y1243" s="1">
        <v>4950000</v>
      </c>
      <c r="Z1243" s="5">
        <v>44117</v>
      </c>
      <c r="AA1243" s="1">
        <v>4000000</v>
      </c>
      <c r="AB1243" s="1" t="s">
        <v>953</v>
      </c>
      <c r="AC1243" s="5">
        <v>44314</v>
      </c>
      <c r="AF1243" s="1">
        <v>10012</v>
      </c>
      <c r="AI1243" s="1" t="s">
        <v>113</v>
      </c>
      <c r="AJ1243" s="1">
        <v>2019</v>
      </c>
    </row>
    <row r="1244" spans="1:38" x14ac:dyDescent="0.2">
      <c r="A1244" s="2" t="str">
        <f>HYPERLINK("https://www.compass.com/listing/360-central-park-west-unit-duplexc-manhattan-ny-10025/4864735557516801457/","360 Central Park W, Unit DUPLEXC")</f>
        <v>360 Central Park W, Unit DUPLEXC</v>
      </c>
      <c r="B1244" s="2" t="str">
        <f>HYPERLINK("https://www.compass.com/building/360-central-park-west-manhattan-ny/281971555427243781/","360 Central Park West")</f>
        <v>360 Central Park West</v>
      </c>
      <c r="C1244" s="1" t="s">
        <v>47</v>
      </c>
      <c r="D1244" s="1" t="s">
        <v>41</v>
      </c>
      <c r="E1244" s="3">
        <v>4080000</v>
      </c>
      <c r="F1244" s="1">
        <v>2675.4098360655698</v>
      </c>
      <c r="G1244" s="1">
        <v>5</v>
      </c>
      <c r="H1244" s="1">
        <v>2</v>
      </c>
      <c r="I1244" s="1">
        <v>2</v>
      </c>
      <c r="M1244" s="4">
        <v>1525</v>
      </c>
      <c r="N1244" s="1">
        <v>1725</v>
      </c>
      <c r="O1244" s="1">
        <v>2841</v>
      </c>
      <c r="P1244" s="1">
        <v>1116</v>
      </c>
      <c r="Q1244" s="1" t="s">
        <v>42</v>
      </c>
      <c r="S1244" s="1" t="s">
        <v>42</v>
      </c>
      <c r="T1244" s="1" t="s">
        <v>203</v>
      </c>
      <c r="V1244" s="5">
        <v>43694</v>
      </c>
      <c r="W1244" s="5">
        <v>42273</v>
      </c>
      <c r="X1244" s="1">
        <v>4290000</v>
      </c>
      <c r="Y1244" s="1">
        <v>4080000</v>
      </c>
      <c r="Z1244" s="5">
        <v>42273</v>
      </c>
      <c r="AA1244" s="1">
        <v>4080000</v>
      </c>
      <c r="AB1244" s="1" t="s">
        <v>204</v>
      </c>
      <c r="AC1244" s="5">
        <v>43096</v>
      </c>
      <c r="AF1244" s="1">
        <v>10025</v>
      </c>
      <c r="AJ1244" s="1">
        <v>1929</v>
      </c>
      <c r="AK1244" s="1" t="s">
        <v>87</v>
      </c>
      <c r="AL1244" s="1">
        <v>126</v>
      </c>
    </row>
    <row r="1245" spans="1:38" x14ac:dyDescent="0.2">
      <c r="A1245" s="2" t="str">
        <f>HYPERLINK("https://www.compass.com/listing/272-west-86th-street-unit-4w-manhattan-ny-10024/803324811811960809/","272 W 86th St, Unit 4W")</f>
        <v>272 W 86th St, Unit 4W</v>
      </c>
      <c r="B1245" s="2" t="str">
        <f>HYPERLINK("https://www.compass.com/building/272-w-86th-st-manhattan-ny-10024/281964694468640149/","272 W 86th St")</f>
        <v>272 W 86th St</v>
      </c>
      <c r="C1245" s="1" t="s">
        <v>47</v>
      </c>
      <c r="D1245" s="1" t="s">
        <v>41</v>
      </c>
      <c r="E1245" s="3">
        <v>4730280</v>
      </c>
      <c r="F1245" s="1">
        <v>1867.4616581129001</v>
      </c>
      <c r="G1245" s="1">
        <v>6</v>
      </c>
      <c r="H1245" s="1">
        <v>4</v>
      </c>
      <c r="I1245" s="1">
        <v>3</v>
      </c>
      <c r="J1245" s="1">
        <v>3</v>
      </c>
      <c r="M1245" s="4">
        <v>2533</v>
      </c>
      <c r="N1245" s="1">
        <v>3348</v>
      </c>
      <c r="O1245" s="1">
        <v>5908</v>
      </c>
      <c r="P1245" s="1">
        <v>2560</v>
      </c>
      <c r="Q1245" s="1" t="s">
        <v>42</v>
      </c>
      <c r="S1245" s="1" t="s">
        <v>42</v>
      </c>
      <c r="T1245" s="1" t="s">
        <v>203</v>
      </c>
      <c r="U1245" s="1">
        <v>101</v>
      </c>
      <c r="V1245" s="5">
        <v>43061</v>
      </c>
      <c r="W1245" s="5">
        <v>42906</v>
      </c>
      <c r="X1245" s="1">
        <v>4750000</v>
      </c>
      <c r="Y1245" s="1">
        <v>4750000</v>
      </c>
      <c r="Z1245" s="5">
        <v>43008</v>
      </c>
      <c r="AA1245" s="1">
        <v>4730280.38</v>
      </c>
      <c r="AB1245" s="1" t="s">
        <v>937</v>
      </c>
      <c r="AC1245" s="5">
        <v>43059</v>
      </c>
      <c r="AF1245" s="1">
        <v>10024</v>
      </c>
      <c r="AJ1245" s="1">
        <v>1895</v>
      </c>
      <c r="AK1245" s="1" t="s">
        <v>87</v>
      </c>
      <c r="AL1245" s="1">
        <v>7</v>
      </c>
    </row>
    <row r="1246" spans="1:38" x14ac:dyDescent="0.2">
      <c r="A1246" s="2" t="str">
        <f>HYPERLINK("https://www.compass.com/listing/225-west-86th-street-unit-605-manhattan-ny-10024/29508817947508321/","225 W 86th St, Unit 605")</f>
        <v>225 W 86th St, Unit 605</v>
      </c>
      <c r="B1246" s="2" t="str">
        <f t="shared" ref="B1246:B1250" si="227">HYPERLINK("https://www.compass.com/building/the-belnord-manhattan-ny/292869672083214101/","The Belnord")</f>
        <v>The Belnord</v>
      </c>
      <c r="C1246" s="1" t="s">
        <v>47</v>
      </c>
      <c r="D1246" s="1" t="s">
        <v>41</v>
      </c>
      <c r="E1246" s="3">
        <v>6550000</v>
      </c>
      <c r="F1246" s="1">
        <v>2183.3333333333298</v>
      </c>
      <c r="G1246" s="1">
        <v>8</v>
      </c>
      <c r="H1246" s="1">
        <v>4</v>
      </c>
      <c r="I1246" s="1">
        <v>5</v>
      </c>
      <c r="J1246" s="1">
        <v>4.5</v>
      </c>
      <c r="K1246" s="1">
        <v>4</v>
      </c>
      <c r="L1246" s="1">
        <v>1</v>
      </c>
      <c r="M1246" s="4">
        <v>3000</v>
      </c>
      <c r="N1246" s="1">
        <v>2579</v>
      </c>
      <c r="O1246" s="1">
        <v>6601</v>
      </c>
      <c r="P1246" s="1">
        <v>4022</v>
      </c>
      <c r="Q1246" s="1" t="s">
        <v>42</v>
      </c>
      <c r="S1246" s="1" t="s">
        <v>42</v>
      </c>
      <c r="T1246" s="1" t="s">
        <v>203</v>
      </c>
      <c r="V1246" s="5">
        <v>43830</v>
      </c>
      <c r="W1246" s="5">
        <v>43284</v>
      </c>
      <c r="X1246" s="1">
        <v>8250000</v>
      </c>
      <c r="Y1246" s="1">
        <v>8250000</v>
      </c>
      <c r="Z1246" s="5">
        <v>43284</v>
      </c>
      <c r="AA1246" s="1">
        <v>6550000</v>
      </c>
      <c r="AB1246" s="1" t="s">
        <v>204</v>
      </c>
      <c r="AC1246" s="5">
        <v>43820</v>
      </c>
      <c r="AF1246" s="1">
        <v>10024</v>
      </c>
      <c r="AI1246" s="1" t="s">
        <v>67</v>
      </c>
      <c r="AJ1246" s="1">
        <v>1908</v>
      </c>
      <c r="AK1246" s="1" t="s">
        <v>50</v>
      </c>
      <c r="AL1246" s="1">
        <v>213</v>
      </c>
    </row>
    <row r="1247" spans="1:38" x14ac:dyDescent="0.2">
      <c r="A1247" s="2" t="str">
        <f>HYPERLINK("https://www.compass.com/listing/225-west-86th-street-unit-307-manhattan-ny-10024/29508819834945169/","225 W 86th St, Unit 307")</f>
        <v>225 W 86th St, Unit 307</v>
      </c>
      <c r="B1247" s="2" t="str">
        <f t="shared" si="227"/>
        <v>The Belnord</v>
      </c>
      <c r="C1247" s="1" t="s">
        <v>47</v>
      </c>
      <c r="D1247" s="1" t="s">
        <v>41</v>
      </c>
      <c r="E1247" s="3">
        <v>6770000</v>
      </c>
      <c r="F1247" s="1">
        <v>2255.9146951016301</v>
      </c>
      <c r="G1247" s="1">
        <v>9.5</v>
      </c>
      <c r="H1247" s="1">
        <v>4</v>
      </c>
      <c r="I1247" s="1">
        <v>5</v>
      </c>
      <c r="J1247" s="1">
        <v>4.5</v>
      </c>
      <c r="K1247" s="1">
        <v>4</v>
      </c>
      <c r="L1247" s="1">
        <v>1</v>
      </c>
      <c r="M1247" s="4">
        <v>3001</v>
      </c>
      <c r="N1247" s="1">
        <v>2542</v>
      </c>
      <c r="O1247" s="1">
        <v>6507</v>
      </c>
      <c r="P1247" s="1">
        <v>3965</v>
      </c>
      <c r="Q1247" s="1" t="s">
        <v>42</v>
      </c>
      <c r="S1247" s="1" t="s">
        <v>42</v>
      </c>
      <c r="T1247" s="1" t="s">
        <v>203</v>
      </c>
      <c r="U1247" s="1">
        <v>29</v>
      </c>
      <c r="V1247" s="5">
        <v>43864</v>
      </c>
      <c r="W1247" s="5">
        <v>43280</v>
      </c>
      <c r="X1247" s="1">
        <v>7050000</v>
      </c>
      <c r="Y1247" s="1">
        <v>7050000</v>
      </c>
      <c r="Z1247" s="5">
        <v>43309</v>
      </c>
      <c r="AA1247" s="1">
        <v>6770000</v>
      </c>
      <c r="AB1247" s="1" t="s">
        <v>204</v>
      </c>
      <c r="AC1247" s="5">
        <v>43855</v>
      </c>
      <c r="AF1247" s="1">
        <v>10024</v>
      </c>
      <c r="AI1247" s="1" t="s">
        <v>67</v>
      </c>
      <c r="AJ1247" s="1">
        <v>1908</v>
      </c>
      <c r="AK1247" s="1" t="s">
        <v>50</v>
      </c>
      <c r="AL1247" s="1">
        <v>213</v>
      </c>
    </row>
    <row r="1248" spans="1:38" x14ac:dyDescent="0.2">
      <c r="A1248" s="2" t="str">
        <f>HYPERLINK("https://www.compass.com/listing/225-west-86th-street-unit-112-manhattan-ny-10024/344084946724974353/","225 W 86th St, Unit 112")</f>
        <v>225 W 86th St, Unit 112</v>
      </c>
      <c r="B1248" s="2" t="str">
        <f t="shared" si="227"/>
        <v>The Belnord</v>
      </c>
      <c r="C1248" s="1" t="s">
        <v>47</v>
      </c>
      <c r="D1248" s="1" t="s">
        <v>41</v>
      </c>
      <c r="E1248" s="3">
        <v>6950000</v>
      </c>
      <c r="F1248" s="1">
        <v>2231.85613359023</v>
      </c>
      <c r="G1248" s="1">
        <v>10.5</v>
      </c>
      <c r="H1248" s="1">
        <v>4</v>
      </c>
      <c r="I1248" s="1">
        <v>5</v>
      </c>
      <c r="J1248" s="1">
        <v>4.5</v>
      </c>
      <c r="K1248" s="1">
        <v>4</v>
      </c>
      <c r="L1248" s="1">
        <v>1</v>
      </c>
      <c r="M1248" s="4">
        <v>3114</v>
      </c>
      <c r="N1248" s="1">
        <v>2693</v>
      </c>
      <c r="O1248" s="1">
        <v>7593</v>
      </c>
      <c r="P1248" s="1">
        <v>4900</v>
      </c>
      <c r="Q1248" s="1" t="s">
        <v>42</v>
      </c>
      <c r="S1248" s="1" t="s">
        <v>42</v>
      </c>
      <c r="T1248" s="1" t="s">
        <v>203</v>
      </c>
      <c r="U1248" s="1">
        <v>521</v>
      </c>
      <c r="V1248" s="5">
        <v>44401</v>
      </c>
      <c r="W1248" s="5">
        <v>43726</v>
      </c>
      <c r="X1248" s="1">
        <v>7350000</v>
      </c>
      <c r="Y1248" s="1">
        <v>7350000</v>
      </c>
      <c r="Z1248" s="5">
        <v>44341</v>
      </c>
      <c r="AA1248" s="1">
        <v>6950000</v>
      </c>
      <c r="AB1248" s="1" t="s">
        <v>204</v>
      </c>
      <c r="AC1248" s="5">
        <v>44399</v>
      </c>
      <c r="AF1248" s="1">
        <v>10024</v>
      </c>
      <c r="AI1248" s="1" t="s">
        <v>67</v>
      </c>
      <c r="AJ1248" s="1">
        <v>1908</v>
      </c>
      <c r="AK1248" s="1" t="s">
        <v>81</v>
      </c>
      <c r="AL1248" s="1">
        <v>213</v>
      </c>
    </row>
    <row r="1249" spans="1:38" x14ac:dyDescent="0.2">
      <c r="A1249" s="2" t="str">
        <f>HYPERLINK("https://www.compass.com/listing/225-west-86th-street-unit-804-manhattan-ny-10024/444920259946863073/","225 W 86th St, Unit 804")</f>
        <v>225 W 86th St, Unit 804</v>
      </c>
      <c r="B1249" s="2" t="str">
        <f t="shared" si="227"/>
        <v>The Belnord</v>
      </c>
      <c r="C1249" s="1" t="s">
        <v>47</v>
      </c>
      <c r="D1249" s="1" t="s">
        <v>41</v>
      </c>
      <c r="E1249" s="3">
        <v>7750000</v>
      </c>
      <c r="F1249" s="1">
        <v>2476.82965803771</v>
      </c>
      <c r="G1249" s="1">
        <v>6</v>
      </c>
      <c r="H1249" s="1">
        <v>4</v>
      </c>
      <c r="I1249" s="1">
        <v>5</v>
      </c>
      <c r="J1249" s="1">
        <v>4.5</v>
      </c>
      <c r="K1249" s="1">
        <v>4</v>
      </c>
      <c r="L1249" s="1">
        <v>1</v>
      </c>
      <c r="M1249" s="4">
        <v>3129</v>
      </c>
      <c r="N1249" s="1">
        <v>2706</v>
      </c>
      <c r="O1249" s="1">
        <v>7798</v>
      </c>
      <c r="P1249" s="1">
        <v>5092</v>
      </c>
      <c r="Q1249" s="1" t="s">
        <v>42</v>
      </c>
      <c r="S1249" s="1" t="s">
        <v>42</v>
      </c>
      <c r="T1249" s="1" t="s">
        <v>203</v>
      </c>
      <c r="U1249" s="1">
        <v>369</v>
      </c>
      <c r="V1249" s="5">
        <v>44405</v>
      </c>
      <c r="W1249" s="5">
        <v>43865</v>
      </c>
      <c r="X1249" s="1">
        <v>8400000</v>
      </c>
      <c r="Y1249" s="1">
        <v>8400000</v>
      </c>
      <c r="Z1249" s="5">
        <v>44328</v>
      </c>
      <c r="AA1249" s="1">
        <v>7750000</v>
      </c>
      <c r="AB1249" s="1" t="s">
        <v>204</v>
      </c>
      <c r="AC1249" s="5">
        <v>44403</v>
      </c>
      <c r="AF1249" s="1">
        <v>10024</v>
      </c>
      <c r="AI1249" s="1" t="s">
        <v>67</v>
      </c>
      <c r="AJ1249" s="1">
        <v>1908</v>
      </c>
      <c r="AK1249" s="1" t="s">
        <v>81</v>
      </c>
      <c r="AL1249" s="1">
        <v>213</v>
      </c>
    </row>
    <row r="1250" spans="1:38" x14ac:dyDescent="0.2">
      <c r="A1250" s="2" t="str">
        <f>HYPERLINK("https://www.compass.com/listing/225-west-86th-street-unit-703-manhattan-ny-10024/259957798648017681/","225 W 86th St, Unit 703")</f>
        <v>225 W 86th St, Unit 703</v>
      </c>
      <c r="B1250" s="2" t="str">
        <f t="shared" si="227"/>
        <v>The Belnord</v>
      </c>
      <c r="C1250" s="1" t="s">
        <v>47</v>
      </c>
      <c r="D1250" s="1" t="s">
        <v>41</v>
      </c>
      <c r="E1250" s="3">
        <v>8325000</v>
      </c>
      <c r="F1250" s="1">
        <v>2102.8037383177498</v>
      </c>
      <c r="G1250" s="1">
        <v>10</v>
      </c>
      <c r="H1250" s="1">
        <v>5</v>
      </c>
      <c r="I1250" s="1">
        <v>4</v>
      </c>
      <c r="J1250" s="1">
        <v>4</v>
      </c>
      <c r="K1250" s="1">
        <v>4</v>
      </c>
      <c r="M1250" s="4">
        <v>3959</v>
      </c>
      <c r="N1250" s="1">
        <v>3424</v>
      </c>
      <c r="O1250" s="1">
        <v>8840</v>
      </c>
      <c r="P1250" s="1">
        <v>5416</v>
      </c>
      <c r="Q1250" s="1" t="s">
        <v>42</v>
      </c>
      <c r="S1250" s="1" t="s">
        <v>42</v>
      </c>
      <c r="T1250" s="1" t="s">
        <v>203</v>
      </c>
      <c r="V1250" s="5">
        <v>43704</v>
      </c>
      <c r="W1250" s="5">
        <v>43610</v>
      </c>
      <c r="X1250" s="1">
        <v>11500000</v>
      </c>
      <c r="Y1250" s="1">
        <v>11500000</v>
      </c>
      <c r="Z1250" s="5">
        <v>43610</v>
      </c>
      <c r="AA1250" s="1">
        <v>8325000</v>
      </c>
      <c r="AB1250" s="1" t="s">
        <v>204</v>
      </c>
      <c r="AC1250" s="5">
        <v>43687</v>
      </c>
      <c r="AF1250" s="1">
        <v>10024</v>
      </c>
      <c r="AI1250" s="1" t="s">
        <v>67</v>
      </c>
      <c r="AJ1250" s="1">
        <v>1908</v>
      </c>
      <c r="AK1250" s="1" t="s">
        <v>81</v>
      </c>
      <c r="AL1250" s="1">
        <v>213</v>
      </c>
    </row>
    <row r="1251" spans="1:38" x14ac:dyDescent="0.2">
      <c r="A1251" s="2" t="str">
        <f>HYPERLINK("https://www.compass.com/listing/269-west-87th-street-unit-3b-manhattan-ny-10024/85273277320148865/","269 W 87th St, Unit 3B")</f>
        <v>269 W 87th St, Unit 3B</v>
      </c>
      <c r="B1251" s="2" t="str">
        <f>HYPERLINK("https://www.compass.com/building/west-end-and-eighty-seven-manhattan-ny/282058755477110005/","West End and Eighty Seven")</f>
        <v>West End and Eighty Seven</v>
      </c>
      <c r="C1251" s="1" t="s">
        <v>47</v>
      </c>
      <c r="D1251" s="1" t="s">
        <v>41</v>
      </c>
      <c r="E1251" s="3">
        <v>3372500</v>
      </c>
      <c r="F1251" s="1">
        <v>1537.8476972184201</v>
      </c>
      <c r="G1251" s="1">
        <v>7</v>
      </c>
      <c r="H1251" s="1">
        <v>3</v>
      </c>
      <c r="I1251" s="1">
        <v>4</v>
      </c>
      <c r="J1251" s="1">
        <v>3.5</v>
      </c>
      <c r="K1251" s="1">
        <v>3</v>
      </c>
      <c r="L1251" s="1">
        <v>1</v>
      </c>
      <c r="M1251" s="4">
        <v>2193</v>
      </c>
      <c r="N1251" s="1">
        <v>6381</v>
      </c>
      <c r="O1251" s="1">
        <v>6381</v>
      </c>
      <c r="Q1251" s="1" t="s">
        <v>870</v>
      </c>
      <c r="S1251" s="1" t="s">
        <v>870</v>
      </c>
      <c r="T1251" s="1" t="s">
        <v>203</v>
      </c>
      <c r="U1251" s="1">
        <v>129</v>
      </c>
      <c r="V1251" s="5">
        <v>43642</v>
      </c>
      <c r="W1251" s="5">
        <v>43229</v>
      </c>
      <c r="X1251" s="1">
        <v>3550000</v>
      </c>
      <c r="Y1251" s="1">
        <v>3550000</v>
      </c>
      <c r="Z1251" s="5">
        <v>43358</v>
      </c>
      <c r="AA1251" s="1">
        <v>3372500</v>
      </c>
      <c r="AB1251" s="1" t="s">
        <v>954</v>
      </c>
      <c r="AC1251" s="5">
        <v>43560</v>
      </c>
      <c r="AF1251" s="1">
        <v>10024</v>
      </c>
      <c r="AI1251" s="1" t="s">
        <v>117</v>
      </c>
      <c r="AJ1251" s="1">
        <v>2018</v>
      </c>
      <c r="AK1251" s="1" t="s">
        <v>46</v>
      </c>
      <c r="AL1251" s="1">
        <v>39</v>
      </c>
    </row>
    <row r="1252" spans="1:38" x14ac:dyDescent="0.2">
      <c r="A1252" s="2" t="str">
        <f>HYPERLINK("https://www.compass.com/listing/175-west-95th-street-unit-23d-manhattan-ny-10025/29400334690503473/","175 W 95th St, Unit 23D")</f>
        <v>175 W 95th St, Unit 23D</v>
      </c>
      <c r="B1252" s="2" t="str">
        <f t="shared" ref="B1252:B1253" si="228">HYPERLINK("https://www.compass.com/building/175-w-95th-manhattan-ny/292876785429866517/","175 W 95th")</f>
        <v>175 W 95th</v>
      </c>
      <c r="C1252" s="1" t="s">
        <v>47</v>
      </c>
      <c r="D1252" s="1" t="s">
        <v>41</v>
      </c>
      <c r="E1252" s="3">
        <v>1120075</v>
      </c>
      <c r="F1252" s="1">
        <v>1582.02683615819</v>
      </c>
      <c r="H1252" s="1">
        <v>1</v>
      </c>
      <c r="J1252" s="1">
        <v>1</v>
      </c>
      <c r="M1252" s="1">
        <v>708</v>
      </c>
      <c r="N1252" s="1">
        <v>810</v>
      </c>
      <c r="O1252" s="1">
        <v>1077</v>
      </c>
      <c r="P1252" s="1">
        <v>267</v>
      </c>
      <c r="Q1252" s="1" t="s">
        <v>42</v>
      </c>
      <c r="S1252" s="1" t="s">
        <v>42</v>
      </c>
      <c r="T1252" s="1" t="s">
        <v>203</v>
      </c>
      <c r="AA1252" s="1">
        <v>1120075</v>
      </c>
      <c r="AB1252" s="1" t="s">
        <v>955</v>
      </c>
      <c r="AC1252" s="5">
        <v>42376</v>
      </c>
      <c r="AF1252" s="1">
        <v>10025</v>
      </c>
      <c r="AI1252" s="1" t="s">
        <v>52</v>
      </c>
      <c r="AJ1252" s="1">
        <v>1971</v>
      </c>
      <c r="AK1252" s="1" t="s">
        <v>50</v>
      </c>
      <c r="AL1252" s="1">
        <v>226</v>
      </c>
    </row>
    <row r="1253" spans="1:38" x14ac:dyDescent="0.2">
      <c r="A1253" s="2" t="str">
        <f>HYPERLINK("https://www.compass.com/listing/175-west-95th-street-unit-19a-manhattan-ny-10025/29400329732836065/","175 W 95th St, Unit 19A")</f>
        <v>175 W 95th St, Unit 19A</v>
      </c>
      <c r="B1253" s="2" t="str">
        <f t="shared" si="228"/>
        <v>175 W 95th</v>
      </c>
      <c r="C1253" s="1" t="s">
        <v>47</v>
      </c>
      <c r="D1253" s="1" t="s">
        <v>41</v>
      </c>
      <c r="E1253" s="3">
        <v>865513</v>
      </c>
      <c r="F1253" s="1">
        <v>1348.15031152647</v>
      </c>
      <c r="H1253" s="1">
        <v>1</v>
      </c>
      <c r="J1253" s="1">
        <v>1</v>
      </c>
      <c r="K1253" s="1">
        <v>1</v>
      </c>
      <c r="M1253" s="1">
        <v>642</v>
      </c>
      <c r="N1253" s="1">
        <v>721</v>
      </c>
      <c r="O1253" s="1">
        <v>1287</v>
      </c>
      <c r="P1253" s="1">
        <v>566</v>
      </c>
      <c r="Q1253" s="1" t="s">
        <v>42</v>
      </c>
      <c r="S1253" s="1" t="s">
        <v>42</v>
      </c>
      <c r="T1253" s="1" t="s">
        <v>203</v>
      </c>
      <c r="AA1253" s="1">
        <v>865512.5</v>
      </c>
      <c r="AB1253" s="1" t="s">
        <v>956</v>
      </c>
      <c r="AC1253" s="5">
        <v>42360</v>
      </c>
      <c r="AF1253" s="1">
        <v>10025</v>
      </c>
      <c r="AI1253" s="1" t="s">
        <v>52</v>
      </c>
      <c r="AJ1253" s="1">
        <v>1971</v>
      </c>
      <c r="AK1253" s="1" t="s">
        <v>50</v>
      </c>
      <c r="AL1253" s="1">
        <v>226</v>
      </c>
    </row>
    <row r="1254" spans="1:38" x14ac:dyDescent="0.2">
      <c r="A1254" s="2" t="str">
        <f>HYPERLINK("https://www.compass.com/listing/20-renwick-street-unit-9-manhattan-ny-10013/29366657768073441/","20 Renwick St, Unit 9")</f>
        <v>20 Renwick St, Unit 9</v>
      </c>
      <c r="B1254" s="2" t="str">
        <f>HYPERLINK("https://www.compass.com/building/20-renwick-st-manhattan-ny-10013/281918112016662197/","20 Renwick St")</f>
        <v>20 Renwick St</v>
      </c>
      <c r="C1254" s="1" t="s">
        <v>913</v>
      </c>
      <c r="D1254" s="1" t="s">
        <v>41</v>
      </c>
      <c r="E1254" s="3">
        <v>512095</v>
      </c>
      <c r="F1254" s="1">
        <v>1103.65301724137</v>
      </c>
      <c r="G1254" s="1">
        <v>3</v>
      </c>
      <c r="H1254" s="1">
        <v>1</v>
      </c>
      <c r="I1254" s="1">
        <v>1</v>
      </c>
      <c r="J1254" s="1">
        <v>1</v>
      </c>
      <c r="M1254" s="1">
        <v>464</v>
      </c>
      <c r="N1254" s="1">
        <v>282</v>
      </c>
      <c r="O1254" s="1">
        <v>512</v>
      </c>
      <c r="P1254" s="1">
        <v>230</v>
      </c>
      <c r="Q1254" s="1" t="s">
        <v>42</v>
      </c>
      <c r="S1254" s="1" t="s">
        <v>42</v>
      </c>
      <c r="T1254" s="1" t="s">
        <v>203</v>
      </c>
      <c r="U1254" s="1">
        <v>165</v>
      </c>
      <c r="V1254" s="5">
        <v>43727</v>
      </c>
      <c r="W1254" s="5">
        <v>40358</v>
      </c>
      <c r="X1254" s="1">
        <v>1075</v>
      </c>
      <c r="Y1254" s="1">
        <v>495000</v>
      </c>
      <c r="Z1254" s="5">
        <v>40523</v>
      </c>
      <c r="AA1254" s="1">
        <v>512095</v>
      </c>
      <c r="AB1254" s="1" t="s">
        <v>957</v>
      </c>
      <c r="AC1254" s="5">
        <v>40605</v>
      </c>
      <c r="AF1254" s="1">
        <v>10013</v>
      </c>
      <c r="AI1254" s="1" t="s">
        <v>52</v>
      </c>
      <c r="AJ1254" s="1">
        <v>1890</v>
      </c>
      <c r="AL1254" s="1">
        <v>10</v>
      </c>
    </row>
    <row r="1255" spans="1:38" x14ac:dyDescent="0.2">
      <c r="A1255" s="2" t="str">
        <f>HYPERLINK("https://www.compass.com/listing/272-west-86th-street-unit-thw-manhattan-ny-10023/249274705578576033/","272 W 86th St, Unit THW")</f>
        <v>272 W 86th St, Unit THW</v>
      </c>
      <c r="B1255" s="2" t="str">
        <f>HYPERLINK("https://www.compass.com/building/272-w-86th-st-manhattan-ny-10023/281964694468640149/","272 W 86th St")</f>
        <v>272 W 86th St</v>
      </c>
      <c r="C1255" s="1" t="s">
        <v>47</v>
      </c>
      <c r="D1255" s="1" t="s">
        <v>41</v>
      </c>
      <c r="E1255" s="3">
        <v>5200000</v>
      </c>
      <c r="F1255" s="1">
        <v>1232.22748815165</v>
      </c>
      <c r="G1255" s="1">
        <v>9</v>
      </c>
      <c r="H1255" s="1">
        <v>4</v>
      </c>
      <c r="I1255" s="1">
        <v>5</v>
      </c>
      <c r="J1255" s="1">
        <v>5</v>
      </c>
      <c r="K1255" s="1">
        <v>5</v>
      </c>
      <c r="M1255" s="4">
        <v>4220</v>
      </c>
      <c r="N1255" s="1">
        <v>3911</v>
      </c>
      <c r="O1255" s="1">
        <v>5804</v>
      </c>
      <c r="P1255" s="1">
        <v>1893</v>
      </c>
      <c r="Q1255" s="1" t="s">
        <v>42</v>
      </c>
      <c r="S1255" s="1" t="s">
        <v>42</v>
      </c>
      <c r="T1255" s="1" t="s">
        <v>203</v>
      </c>
      <c r="U1255" s="1">
        <v>113</v>
      </c>
      <c r="V1255" s="5">
        <v>43739</v>
      </c>
      <c r="W1255" s="5">
        <v>43596</v>
      </c>
      <c r="X1255" s="1">
        <v>5950000</v>
      </c>
      <c r="Y1255" s="1">
        <v>5495000</v>
      </c>
      <c r="Z1255" s="5">
        <v>43709</v>
      </c>
      <c r="AA1255" s="1">
        <v>5200000</v>
      </c>
      <c r="AB1255" s="1" t="s">
        <v>958</v>
      </c>
      <c r="AC1255" s="5">
        <v>43724</v>
      </c>
      <c r="AF1255" s="1">
        <v>10023</v>
      </c>
      <c r="AI1255" s="1" t="s">
        <v>141</v>
      </c>
      <c r="AJ1255" s="1">
        <v>1895</v>
      </c>
      <c r="AK1255" s="1" t="s">
        <v>87</v>
      </c>
      <c r="AL1255" s="1">
        <v>7</v>
      </c>
    </row>
    <row r="1256" spans="1:38" x14ac:dyDescent="0.2">
      <c r="A1256" s="2" t="str">
        <f>HYPERLINK("https://www.compass.com/listing/269-west-87th-street-unit-5a-manhattan-ny-10024/364454019665703729/","269 W 87th St, Unit 5A")</f>
        <v>269 W 87th St, Unit 5A</v>
      </c>
      <c r="B1256" s="2" t="str">
        <f>HYPERLINK("https://www.compass.com/building/west-end-and-eighty-seven-manhattan-ny/282058755477110005/","West End and Eighty Seven")</f>
        <v>West End and Eighty Seven</v>
      </c>
      <c r="C1256" s="1" t="s">
        <v>47</v>
      </c>
      <c r="D1256" s="1" t="s">
        <v>41</v>
      </c>
      <c r="E1256" s="3">
        <v>3500000</v>
      </c>
      <c r="F1256" s="1">
        <v>1275.9752096244899</v>
      </c>
      <c r="G1256" s="1">
        <v>7</v>
      </c>
      <c r="H1256" s="1">
        <v>4</v>
      </c>
      <c r="I1256" s="1">
        <v>5</v>
      </c>
      <c r="J1256" s="1">
        <v>4.5</v>
      </c>
      <c r="K1256" s="1">
        <v>4</v>
      </c>
      <c r="L1256" s="1">
        <v>1</v>
      </c>
      <c r="M1256" s="4">
        <v>2743</v>
      </c>
      <c r="N1256" s="1">
        <v>1</v>
      </c>
      <c r="O1256" s="1">
        <v>1</v>
      </c>
      <c r="Q1256" s="1" t="s">
        <v>870</v>
      </c>
      <c r="S1256" s="1" t="s">
        <v>870</v>
      </c>
      <c r="T1256" s="1" t="s">
        <v>203</v>
      </c>
      <c r="U1256" s="1">
        <v>277</v>
      </c>
      <c r="V1256" s="5">
        <v>44134</v>
      </c>
      <c r="W1256" s="5">
        <v>43754</v>
      </c>
      <c r="AA1256" s="1">
        <v>3500000</v>
      </c>
      <c r="AB1256" s="1" t="s">
        <v>959</v>
      </c>
      <c r="AC1256" s="5">
        <v>44125</v>
      </c>
      <c r="AF1256" s="1">
        <v>10024</v>
      </c>
      <c r="AI1256" s="1" t="s">
        <v>67</v>
      </c>
      <c r="AJ1256" s="1">
        <v>2018</v>
      </c>
      <c r="AK1256" s="1" t="s">
        <v>81</v>
      </c>
      <c r="AL1256" s="1">
        <v>39</v>
      </c>
    </row>
    <row r="1257" spans="1:38" x14ac:dyDescent="0.2">
      <c r="A1257" s="2" t="str">
        <f>HYPERLINK("https://www.compass.com/listing/101-west-78th-street-unit-6d-manhattan-ny-10024/324907951084794049/","101 W 78th St, Unit 6D")</f>
        <v>101 W 78th St, Unit 6D</v>
      </c>
      <c r="B1257" s="2" t="str">
        <f>HYPERLINK("https://www.compass.com/building/101-w-78th-st-manhattan-ny-10024/281961405798754085/","101 W 78th St")</f>
        <v>101 W 78th St</v>
      </c>
      <c r="C1257" s="1" t="s">
        <v>47</v>
      </c>
      <c r="D1257" s="1" t="s">
        <v>41</v>
      </c>
      <c r="E1257" s="3">
        <v>1200000</v>
      </c>
      <c r="F1257" s="1">
        <v>1818.1818181818101</v>
      </c>
      <c r="H1257" s="1">
        <v>1</v>
      </c>
      <c r="J1257" s="1">
        <v>1</v>
      </c>
      <c r="M1257" s="1">
        <v>660</v>
      </c>
      <c r="N1257" s="1">
        <v>952</v>
      </c>
      <c r="O1257" s="1">
        <v>1567</v>
      </c>
      <c r="P1257" s="1">
        <v>615</v>
      </c>
      <c r="Q1257" s="1" t="s">
        <v>42</v>
      </c>
      <c r="S1257" s="1" t="s">
        <v>42</v>
      </c>
      <c r="T1257" s="1" t="s">
        <v>203</v>
      </c>
      <c r="AA1257" s="1">
        <v>1200000</v>
      </c>
      <c r="AB1257" s="1" t="s">
        <v>960</v>
      </c>
      <c r="AC1257" s="5">
        <v>43642</v>
      </c>
      <c r="AF1257" s="1">
        <v>10024</v>
      </c>
      <c r="AJ1257" s="1">
        <v>1886</v>
      </c>
      <c r="AK1257" s="1" t="s">
        <v>55</v>
      </c>
      <c r="AL1257" s="1">
        <v>21</v>
      </c>
    </row>
    <row r="1258" spans="1:38" x14ac:dyDescent="0.2">
      <c r="A1258" s="2" t="str">
        <f>HYPERLINK("https://www.compass.com/listing/175-west-95th-street-unit-26j-manhattan-ny-10025/70926150863512353/","175 W 95th St, Unit 26J")</f>
        <v>175 W 95th St, Unit 26J</v>
      </c>
      <c r="B1258" s="2" t="str">
        <f t="shared" ref="B1258:B1263" si="229">HYPERLINK("https://www.compass.com/building/175-w-95th-manhattan-ny/292876785429866517/","175 W 95th")</f>
        <v>175 W 95th</v>
      </c>
      <c r="C1258" s="1" t="s">
        <v>47</v>
      </c>
      <c r="D1258" s="1" t="s">
        <v>41</v>
      </c>
      <c r="E1258" s="3">
        <v>799326</v>
      </c>
      <c r="F1258" s="1">
        <v>1561.18408203125</v>
      </c>
      <c r="H1258" s="1">
        <v>1</v>
      </c>
      <c r="J1258" s="1">
        <v>1</v>
      </c>
      <c r="M1258" s="1">
        <v>512</v>
      </c>
      <c r="N1258" s="1">
        <v>567</v>
      </c>
      <c r="O1258" s="1">
        <v>782</v>
      </c>
      <c r="P1258" s="1">
        <v>215</v>
      </c>
      <c r="Q1258" s="1" t="s">
        <v>42</v>
      </c>
      <c r="S1258" s="1" t="s">
        <v>42</v>
      </c>
      <c r="T1258" s="1" t="s">
        <v>203</v>
      </c>
      <c r="AA1258" s="1">
        <v>799326.25</v>
      </c>
      <c r="AB1258" s="1" t="s">
        <v>961</v>
      </c>
      <c r="AC1258" s="5">
        <v>42290</v>
      </c>
      <c r="AF1258" s="1">
        <v>10025</v>
      </c>
      <c r="AI1258" s="1" t="s">
        <v>52</v>
      </c>
      <c r="AJ1258" s="1">
        <v>1971</v>
      </c>
      <c r="AK1258" s="1" t="s">
        <v>50</v>
      </c>
      <c r="AL1258" s="1">
        <v>226</v>
      </c>
    </row>
    <row r="1259" spans="1:38" x14ac:dyDescent="0.2">
      <c r="A1259" s="2" t="str">
        <f>HYPERLINK("https://www.compass.com/listing/175-west-95th-street-unit-21j-manhattan-ny-10025/70957817153980049/","175 W 95th St, Unit 21J")</f>
        <v>175 W 95th St, Unit 21J</v>
      </c>
      <c r="B1259" s="2" t="str">
        <f t="shared" si="229"/>
        <v>175 W 95th</v>
      </c>
      <c r="C1259" s="1" t="s">
        <v>47</v>
      </c>
      <c r="D1259" s="1" t="s">
        <v>41</v>
      </c>
      <c r="E1259" s="3">
        <v>773870</v>
      </c>
      <c r="F1259" s="1">
        <v>1511.46484375</v>
      </c>
      <c r="H1259" s="1">
        <v>1</v>
      </c>
      <c r="J1259" s="1">
        <v>1</v>
      </c>
      <c r="M1259" s="1">
        <v>512</v>
      </c>
      <c r="N1259" s="1">
        <v>561</v>
      </c>
      <c r="O1259" s="1">
        <v>790</v>
      </c>
      <c r="P1259" s="1">
        <v>229</v>
      </c>
      <c r="Q1259" s="1" t="s">
        <v>42</v>
      </c>
      <c r="S1259" s="1" t="s">
        <v>42</v>
      </c>
      <c r="T1259" s="1" t="s">
        <v>203</v>
      </c>
      <c r="AA1259" s="1">
        <v>773870</v>
      </c>
      <c r="AB1259" s="1" t="s">
        <v>962</v>
      </c>
      <c r="AC1259" s="5">
        <v>42299</v>
      </c>
      <c r="AF1259" s="1">
        <v>10025</v>
      </c>
      <c r="AI1259" s="1" t="s">
        <v>52</v>
      </c>
      <c r="AJ1259" s="1">
        <v>1971</v>
      </c>
      <c r="AK1259" s="1" t="s">
        <v>50</v>
      </c>
      <c r="AL1259" s="1">
        <v>226</v>
      </c>
    </row>
    <row r="1260" spans="1:38" x14ac:dyDescent="0.2">
      <c r="A1260" s="2" t="str">
        <f>HYPERLINK("https://www.compass.com/listing/175-west-95th-street-unit-4j-manhattan-ny-10025/29400318819178305/","175 W 95th St, Unit 4J")</f>
        <v>175 W 95th St, Unit 4J</v>
      </c>
      <c r="B1260" s="2" t="str">
        <f t="shared" si="229"/>
        <v>175 W 95th</v>
      </c>
      <c r="C1260" s="1" t="s">
        <v>47</v>
      </c>
      <c r="D1260" s="1" t="s">
        <v>41</v>
      </c>
      <c r="E1260" s="3">
        <v>692410</v>
      </c>
      <c r="F1260" s="1">
        <v>1352.36328125</v>
      </c>
      <c r="H1260" s="1">
        <v>1</v>
      </c>
      <c r="J1260" s="1">
        <v>1</v>
      </c>
      <c r="K1260" s="1">
        <v>1</v>
      </c>
      <c r="M1260" s="1">
        <v>512</v>
      </c>
      <c r="N1260" s="1">
        <v>510</v>
      </c>
      <c r="O1260" s="1">
        <v>936</v>
      </c>
      <c r="P1260" s="1">
        <v>426</v>
      </c>
      <c r="Q1260" s="1" t="s">
        <v>42</v>
      </c>
      <c r="S1260" s="1" t="s">
        <v>42</v>
      </c>
      <c r="T1260" s="1" t="s">
        <v>203</v>
      </c>
      <c r="AA1260" s="1">
        <v>692410</v>
      </c>
      <c r="AB1260" s="1" t="s">
        <v>963</v>
      </c>
      <c r="AC1260" s="5">
        <v>42328</v>
      </c>
      <c r="AF1260" s="1">
        <v>10025</v>
      </c>
      <c r="AI1260" s="1" t="s">
        <v>52</v>
      </c>
      <c r="AJ1260" s="1">
        <v>1971</v>
      </c>
      <c r="AK1260" s="1" t="s">
        <v>50</v>
      </c>
      <c r="AL1260" s="1">
        <v>226</v>
      </c>
    </row>
    <row r="1261" spans="1:38" x14ac:dyDescent="0.2">
      <c r="A1261" s="2" t="str">
        <f>HYPERLINK("https://www.compass.com/listing/175-west-95th-street-unit-4d-manhattan-ny-10025/29400318232054305/","175 W 95th St, Unit 4D")</f>
        <v>175 W 95th St, Unit 4D</v>
      </c>
      <c r="B1261" s="2" t="str">
        <f t="shared" si="229"/>
        <v>175 W 95th</v>
      </c>
      <c r="C1261" s="1" t="s">
        <v>47</v>
      </c>
      <c r="D1261" s="1" t="s">
        <v>41</v>
      </c>
      <c r="E1261" s="3">
        <v>763688</v>
      </c>
      <c r="F1261" s="1">
        <v>1078.6546610169401</v>
      </c>
      <c r="H1261" s="1">
        <v>1</v>
      </c>
      <c r="J1261" s="1">
        <v>1</v>
      </c>
      <c r="K1261" s="1">
        <v>1</v>
      </c>
      <c r="M1261" s="1">
        <v>708</v>
      </c>
      <c r="N1261" s="1">
        <v>740</v>
      </c>
      <c r="O1261" s="1">
        <v>1299</v>
      </c>
      <c r="P1261" s="1">
        <v>559</v>
      </c>
      <c r="Q1261" s="1" t="s">
        <v>42</v>
      </c>
      <c r="S1261" s="1" t="s">
        <v>42</v>
      </c>
      <c r="T1261" s="1" t="s">
        <v>203</v>
      </c>
      <c r="AA1261" s="1">
        <v>763687.5</v>
      </c>
      <c r="AB1261" s="1" t="s">
        <v>964</v>
      </c>
      <c r="AC1261" s="5">
        <v>42408</v>
      </c>
      <c r="AF1261" s="1">
        <v>10025</v>
      </c>
      <c r="AI1261" s="1" t="s">
        <v>52</v>
      </c>
      <c r="AJ1261" s="1">
        <v>1971</v>
      </c>
      <c r="AK1261" s="1" t="s">
        <v>50</v>
      </c>
      <c r="AL1261" s="1">
        <v>226</v>
      </c>
    </row>
    <row r="1262" spans="1:38" x14ac:dyDescent="0.2">
      <c r="A1262" s="2" t="str">
        <f>HYPERLINK("https://www.compass.com/listing/175-west-95th-street-unit-19j-manhattan-ny-10025/29400330328348673/","175 W 95th St, Unit 19J")</f>
        <v>175 W 95th St, Unit 19J</v>
      </c>
      <c r="B1262" s="2" t="str">
        <f t="shared" si="229"/>
        <v>175 W 95th</v>
      </c>
      <c r="C1262" s="1" t="s">
        <v>47</v>
      </c>
      <c r="D1262" s="1" t="s">
        <v>41</v>
      </c>
      <c r="E1262" s="3">
        <v>763688</v>
      </c>
      <c r="F1262" s="1">
        <v>1491.5771484375</v>
      </c>
      <c r="H1262" s="1">
        <v>1</v>
      </c>
      <c r="J1262" s="1">
        <v>1</v>
      </c>
      <c r="K1262" s="1">
        <v>1</v>
      </c>
      <c r="M1262" s="1">
        <v>512</v>
      </c>
      <c r="N1262" s="1">
        <v>548</v>
      </c>
      <c r="O1262" s="1">
        <v>965</v>
      </c>
      <c r="P1262" s="1">
        <v>417</v>
      </c>
      <c r="Q1262" s="1" t="s">
        <v>42</v>
      </c>
      <c r="S1262" s="1" t="s">
        <v>42</v>
      </c>
      <c r="T1262" s="1" t="s">
        <v>203</v>
      </c>
      <c r="AA1262" s="1">
        <v>763687.5</v>
      </c>
      <c r="AB1262" s="1" t="s">
        <v>965</v>
      </c>
      <c r="AC1262" s="5">
        <v>42356</v>
      </c>
      <c r="AF1262" s="1">
        <v>10025</v>
      </c>
      <c r="AI1262" s="1" t="s">
        <v>52</v>
      </c>
      <c r="AJ1262" s="1">
        <v>1971</v>
      </c>
      <c r="AK1262" s="1" t="s">
        <v>50</v>
      </c>
      <c r="AL1262" s="1">
        <v>226</v>
      </c>
    </row>
    <row r="1263" spans="1:38" x14ac:dyDescent="0.2">
      <c r="A1263" s="2" t="str">
        <f>HYPERLINK("https://www.compass.com/listing/175-west-95th-street-unit-3h-manhattan-ny-10025/29400317854488369/","175 W 95th St, Unit 3H")</f>
        <v>175 W 95th St, Unit 3H</v>
      </c>
      <c r="B1263" s="2" t="str">
        <f t="shared" si="229"/>
        <v>175 W 95th</v>
      </c>
      <c r="C1263" s="1" t="s">
        <v>47</v>
      </c>
      <c r="D1263" s="1" t="s">
        <v>41</v>
      </c>
      <c r="E1263" s="3">
        <v>631315</v>
      </c>
      <c r="F1263" s="1">
        <v>1252.6091269841199</v>
      </c>
      <c r="G1263" s="1">
        <v>3</v>
      </c>
      <c r="H1263" s="1" t="s">
        <v>69</v>
      </c>
      <c r="I1263" s="1">
        <v>1</v>
      </c>
      <c r="J1263" s="1">
        <v>1</v>
      </c>
      <c r="M1263" s="1">
        <v>504</v>
      </c>
      <c r="Q1263" s="1" t="s">
        <v>42</v>
      </c>
      <c r="S1263" s="1" t="s">
        <v>42</v>
      </c>
      <c r="T1263" s="1" t="s">
        <v>203</v>
      </c>
      <c r="U1263" s="1">
        <v>23</v>
      </c>
      <c r="V1263" s="5">
        <v>43703</v>
      </c>
      <c r="W1263" s="5">
        <v>42199</v>
      </c>
      <c r="X1263" s="1">
        <v>620000</v>
      </c>
      <c r="Y1263" s="1">
        <v>620000</v>
      </c>
      <c r="Z1263" s="5">
        <v>42222</v>
      </c>
      <c r="AA1263" s="1">
        <v>631315</v>
      </c>
      <c r="AB1263" s="1" t="s">
        <v>966</v>
      </c>
      <c r="AC1263" s="5">
        <v>42299</v>
      </c>
      <c r="AF1263" s="1">
        <v>10025</v>
      </c>
      <c r="AI1263" s="1" t="s">
        <v>52</v>
      </c>
      <c r="AJ1263" s="1">
        <v>1971</v>
      </c>
      <c r="AK1263" s="1" t="s">
        <v>50</v>
      </c>
      <c r="AL1263" s="1">
        <v>226</v>
      </c>
    </row>
    <row r="1264" spans="1:38" x14ac:dyDescent="0.2">
      <c r="A1264" s="2" t="str">
        <f>HYPERLINK("https://www.compass.com/listing/430-broome-street-unit-2-manhattan-ny-10012/29362660420124657/","430 Broome St, Unit 2")</f>
        <v>430 Broome St, Unit 2</v>
      </c>
      <c r="B1264" s="2" t="str">
        <f>HYPERLINK("https://www.compass.com/building/430-broome-st-manhattan-ny-10012/281919807043964549/","430 Broome St")</f>
        <v>430 Broome St</v>
      </c>
      <c r="C1264" s="1" t="s">
        <v>913</v>
      </c>
      <c r="D1264" s="1" t="s">
        <v>41</v>
      </c>
      <c r="E1264" s="3">
        <v>1200000</v>
      </c>
      <c r="F1264" s="1">
        <v>627.28698379508603</v>
      </c>
      <c r="H1264" s="1" t="s">
        <v>77</v>
      </c>
      <c r="J1264" s="1">
        <v>1</v>
      </c>
      <c r="K1264" s="1">
        <v>1</v>
      </c>
      <c r="M1264" s="4">
        <v>1913</v>
      </c>
      <c r="N1264" s="1">
        <v>1064</v>
      </c>
      <c r="O1264" s="1">
        <v>3243</v>
      </c>
      <c r="P1264" s="1">
        <v>2179</v>
      </c>
      <c r="Q1264" s="1" t="s">
        <v>42</v>
      </c>
      <c r="S1264" s="1" t="s">
        <v>42</v>
      </c>
      <c r="T1264" s="1" t="s">
        <v>203</v>
      </c>
      <c r="AA1264" s="1">
        <v>1200000</v>
      </c>
      <c r="AB1264" s="1" t="s">
        <v>967</v>
      </c>
      <c r="AC1264" s="5">
        <v>42081</v>
      </c>
      <c r="AF1264" s="1">
        <v>10012</v>
      </c>
      <c r="AJ1264" s="1">
        <v>1900</v>
      </c>
      <c r="AL1264" s="1">
        <v>5</v>
      </c>
    </row>
    <row r="1265" spans="1:38" x14ac:dyDescent="0.2">
      <c r="A1265" s="2" t="str">
        <f>HYPERLINK("https://www.compass.com/listing/134-west-83rd-street-unit-2-manhattan-ny-10024/120847472351347121/","134 W 83rd St, Unit 2")</f>
        <v>134 W 83rd St, Unit 2</v>
      </c>
      <c r="B1265" s="2" t="str">
        <f t="shared" ref="B1265:B1267" si="230">HYPERLINK("https://www.compass.com/building/134-w-83rd-st-manhattan-ny-10024/281962412213611461/","134 W 83rd St")</f>
        <v>134 W 83rd St</v>
      </c>
      <c r="C1265" s="1" t="s">
        <v>47</v>
      </c>
      <c r="D1265" s="1" t="s">
        <v>41</v>
      </c>
      <c r="E1265" s="3">
        <v>3995000</v>
      </c>
      <c r="F1265" s="1">
        <v>1933.68828654404</v>
      </c>
      <c r="G1265" s="1">
        <v>9.5</v>
      </c>
      <c r="H1265" s="1">
        <v>4</v>
      </c>
      <c r="I1265" s="1">
        <v>4</v>
      </c>
      <c r="J1265" s="1">
        <v>3.5</v>
      </c>
      <c r="K1265" s="1">
        <v>3</v>
      </c>
      <c r="L1265" s="1">
        <v>1</v>
      </c>
      <c r="M1265" s="4">
        <v>2066</v>
      </c>
      <c r="N1265" s="1">
        <v>1077</v>
      </c>
      <c r="O1265" s="1">
        <v>3668</v>
      </c>
      <c r="P1265" s="1">
        <v>2591</v>
      </c>
      <c r="Q1265" s="1" t="s">
        <v>42</v>
      </c>
      <c r="S1265" s="1" t="s">
        <v>42</v>
      </c>
      <c r="T1265" s="1" t="s">
        <v>203</v>
      </c>
      <c r="U1265" s="1">
        <v>286</v>
      </c>
      <c r="V1265" s="5">
        <v>43731</v>
      </c>
      <c r="W1265" s="5">
        <v>43419</v>
      </c>
      <c r="X1265" s="1">
        <v>4200000</v>
      </c>
      <c r="Y1265" s="1">
        <v>4150000</v>
      </c>
      <c r="Z1265" s="5">
        <v>43705</v>
      </c>
      <c r="AA1265" s="1">
        <v>3995000</v>
      </c>
      <c r="AB1265" s="1" t="s">
        <v>204</v>
      </c>
      <c r="AC1265" s="5">
        <v>43719</v>
      </c>
      <c r="AF1265" s="1">
        <v>10024</v>
      </c>
      <c r="AI1265" s="1" t="s">
        <v>968</v>
      </c>
      <c r="AJ1265" s="1">
        <v>2018</v>
      </c>
      <c r="AK1265" s="1" t="s">
        <v>61</v>
      </c>
      <c r="AL1265" s="1">
        <v>6</v>
      </c>
    </row>
    <row r="1266" spans="1:38" x14ac:dyDescent="0.2">
      <c r="A1266" s="2" t="str">
        <f>HYPERLINK("https://www.compass.com/listing/134-west-83rd-street-unit-4-manhattan-ny-10024/120847472779164721/","134 W 83rd St, Unit 4")</f>
        <v>134 W 83rd St, Unit 4</v>
      </c>
      <c r="B1266" s="2" t="str">
        <f t="shared" si="230"/>
        <v>134 W 83rd St</v>
      </c>
      <c r="C1266" s="1" t="s">
        <v>47</v>
      </c>
      <c r="D1266" s="1" t="s">
        <v>41</v>
      </c>
      <c r="E1266" s="3">
        <v>4304479</v>
      </c>
      <c r="F1266" s="1">
        <v>2083.4845111326199</v>
      </c>
      <c r="G1266" s="1">
        <v>9.5</v>
      </c>
      <c r="H1266" s="1">
        <v>4</v>
      </c>
      <c r="I1266" s="1">
        <v>4</v>
      </c>
      <c r="J1266" s="1">
        <v>3.5</v>
      </c>
      <c r="K1266" s="1">
        <v>3</v>
      </c>
      <c r="L1266" s="1">
        <v>1</v>
      </c>
      <c r="M1266" s="4">
        <v>2066</v>
      </c>
      <c r="N1266" s="1">
        <v>1077</v>
      </c>
      <c r="O1266" s="1">
        <v>3667</v>
      </c>
      <c r="P1266" s="1">
        <v>2590</v>
      </c>
      <c r="Q1266" s="1" t="s">
        <v>42</v>
      </c>
      <c r="S1266" s="1" t="s">
        <v>42</v>
      </c>
      <c r="T1266" s="1" t="s">
        <v>203</v>
      </c>
      <c r="U1266" s="1">
        <v>98</v>
      </c>
      <c r="V1266" s="5">
        <v>43732</v>
      </c>
      <c r="W1266" s="5">
        <v>43419</v>
      </c>
      <c r="X1266" s="1">
        <v>4400000</v>
      </c>
      <c r="Y1266" s="1">
        <v>4400000</v>
      </c>
      <c r="Z1266" s="5">
        <v>43542</v>
      </c>
      <c r="AA1266" s="1">
        <v>4304479</v>
      </c>
      <c r="AB1266" s="1" t="s">
        <v>204</v>
      </c>
      <c r="AC1266" s="5">
        <v>43719</v>
      </c>
      <c r="AF1266" s="1">
        <v>10024</v>
      </c>
      <c r="AI1266" s="1" t="s">
        <v>968</v>
      </c>
      <c r="AJ1266" s="1">
        <v>2018</v>
      </c>
      <c r="AK1266" s="1" t="s">
        <v>61</v>
      </c>
      <c r="AL1266" s="1">
        <v>6</v>
      </c>
    </row>
    <row r="1267" spans="1:38" x14ac:dyDescent="0.2">
      <c r="A1267" s="2" t="str">
        <f>HYPERLINK("https://www.compass.com/listing/134-west-83rd-street-unit-5-manhattan-ny-10024/191228622189666129/","134 W 83rd St, Unit 5")</f>
        <v>134 W 83rd St, Unit 5</v>
      </c>
      <c r="B1267" s="2" t="str">
        <f t="shared" si="230"/>
        <v>134 W 83rd St</v>
      </c>
      <c r="C1267" s="1" t="s">
        <v>47</v>
      </c>
      <c r="D1267" s="1" t="s">
        <v>41</v>
      </c>
      <c r="E1267" s="3">
        <v>4350000</v>
      </c>
      <c r="F1267" s="1">
        <v>2105.5179090029001</v>
      </c>
      <c r="G1267" s="1">
        <v>9.5</v>
      </c>
      <c r="H1267" s="1">
        <v>4</v>
      </c>
      <c r="I1267" s="1">
        <v>4</v>
      </c>
      <c r="J1267" s="1">
        <v>3.5</v>
      </c>
      <c r="K1267" s="1">
        <v>3</v>
      </c>
      <c r="L1267" s="1">
        <v>1</v>
      </c>
      <c r="M1267" s="4">
        <v>2066</v>
      </c>
      <c r="N1267" s="1">
        <v>1078</v>
      </c>
      <c r="O1267" s="1">
        <v>3670</v>
      </c>
      <c r="P1267" s="1">
        <v>2592</v>
      </c>
      <c r="Q1267" s="1" t="s">
        <v>42</v>
      </c>
      <c r="S1267" s="1" t="s">
        <v>42</v>
      </c>
      <c r="T1267" s="1" t="s">
        <v>203</v>
      </c>
      <c r="U1267" s="1">
        <v>123</v>
      </c>
      <c r="V1267" s="5">
        <v>43731</v>
      </c>
      <c r="W1267" s="5">
        <v>43518</v>
      </c>
      <c r="X1267" s="1">
        <v>4495000</v>
      </c>
      <c r="Y1267" s="1">
        <v>4495000</v>
      </c>
      <c r="Z1267" s="5">
        <v>43641</v>
      </c>
      <c r="AA1267" s="1">
        <v>4350000</v>
      </c>
      <c r="AB1267" s="1" t="s">
        <v>204</v>
      </c>
      <c r="AC1267" s="5">
        <v>43721</v>
      </c>
      <c r="AF1267" s="1">
        <v>10024</v>
      </c>
      <c r="AI1267" s="1" t="s">
        <v>969</v>
      </c>
      <c r="AJ1267" s="1">
        <v>2018</v>
      </c>
      <c r="AK1267" s="1" t="s">
        <v>61</v>
      </c>
      <c r="AL1267" s="1">
        <v>6</v>
      </c>
    </row>
    <row r="1268" spans="1:38" x14ac:dyDescent="0.2">
      <c r="A1268" s="2" t="str">
        <f>HYPERLINK("https://www.compass.com/listing/269-west-87th-street-unit-phc-manhattan-ny-10024/592284117331267481/","269 W 87th St, Unit PHC")</f>
        <v>269 W 87th St, Unit PHC</v>
      </c>
      <c r="B1268" s="2" t="str">
        <f>HYPERLINK("https://www.compass.com/building/west-end-and-eighty-seven-manhattan-ny/282058755477110005/","West End and Eighty Seven")</f>
        <v>West End and Eighty Seven</v>
      </c>
      <c r="C1268" s="1" t="s">
        <v>47</v>
      </c>
      <c r="D1268" s="1" t="s">
        <v>41</v>
      </c>
      <c r="E1268" s="3">
        <v>5750000</v>
      </c>
      <c r="F1268" s="1">
        <v>1371.6603053435099</v>
      </c>
      <c r="G1268" s="1">
        <v>9</v>
      </c>
      <c r="H1268" s="1">
        <v>5</v>
      </c>
      <c r="I1268" s="1">
        <v>6</v>
      </c>
      <c r="J1268" s="1">
        <v>5.5</v>
      </c>
      <c r="K1268" s="1">
        <v>5</v>
      </c>
      <c r="L1268" s="1">
        <v>1</v>
      </c>
      <c r="M1268" s="4">
        <v>4192</v>
      </c>
      <c r="Q1268" s="1" t="s">
        <v>109</v>
      </c>
      <c r="S1268" s="1" t="s">
        <v>862</v>
      </c>
      <c r="T1268" s="1" t="s">
        <v>203</v>
      </c>
      <c r="U1268" s="1">
        <v>85</v>
      </c>
      <c r="V1268" s="5">
        <v>44216</v>
      </c>
      <c r="W1268" s="5">
        <v>44068</v>
      </c>
      <c r="X1268" s="1">
        <v>5750000</v>
      </c>
      <c r="Y1268" s="1">
        <v>5750000</v>
      </c>
      <c r="Z1268" s="5">
        <v>44154</v>
      </c>
      <c r="AA1268" s="1">
        <v>5750000</v>
      </c>
      <c r="AB1268" s="1" t="s">
        <v>204</v>
      </c>
      <c r="AC1268" s="5">
        <v>44215</v>
      </c>
      <c r="AF1268" s="1">
        <v>10024</v>
      </c>
      <c r="AI1268" s="1" t="s">
        <v>114</v>
      </c>
      <c r="AJ1268" s="1">
        <v>2018</v>
      </c>
      <c r="AK1268" s="1" t="s">
        <v>50</v>
      </c>
      <c r="AL1268" s="1">
        <v>39</v>
      </c>
    </row>
    <row r="1269" spans="1:38" x14ac:dyDescent="0.2">
      <c r="A1269" s="2" t="str">
        <f>HYPERLINK("https://www.compass.com/listing/133-mulberry-street-unit-4a-manhattan-ny-10013/803349172404858273/","133 Mulberry St, Unit 4A")</f>
        <v>133 Mulberry St, Unit 4A</v>
      </c>
      <c r="B1269" s="2" t="str">
        <f>HYPERLINK("https://www.compass.com/building/133-mulberry-st-manhattan-ny-10013/281916941336083477/","133 Mulberry St")</f>
        <v>133 Mulberry St</v>
      </c>
      <c r="C1269" s="1" t="s">
        <v>135</v>
      </c>
      <c r="D1269" s="1" t="s">
        <v>41</v>
      </c>
      <c r="E1269" s="3">
        <v>1950000</v>
      </c>
      <c r="F1269" s="1">
        <v>1262.95336787564</v>
      </c>
      <c r="G1269" s="1">
        <v>4</v>
      </c>
      <c r="H1269" s="1">
        <v>2</v>
      </c>
      <c r="I1269" s="1">
        <v>2</v>
      </c>
      <c r="J1269" s="1">
        <v>2</v>
      </c>
      <c r="M1269" s="4">
        <v>1544</v>
      </c>
      <c r="N1269" s="1">
        <v>1029</v>
      </c>
      <c r="O1269" s="1">
        <v>2915</v>
      </c>
      <c r="P1269" s="1">
        <v>1886</v>
      </c>
      <c r="Q1269" s="1" t="s">
        <v>42</v>
      </c>
      <c r="S1269" s="1" t="s">
        <v>42</v>
      </c>
      <c r="T1269" s="1" t="s">
        <v>203</v>
      </c>
      <c r="U1269" s="1">
        <v>93</v>
      </c>
      <c r="V1269" s="5">
        <v>43209</v>
      </c>
      <c r="W1269" s="5">
        <v>43053</v>
      </c>
      <c r="X1269" s="1">
        <v>1950000</v>
      </c>
      <c r="Y1269" s="1">
        <v>1950000</v>
      </c>
      <c r="Z1269" s="5">
        <v>43147</v>
      </c>
      <c r="AA1269" s="1">
        <v>1950000</v>
      </c>
      <c r="AB1269" s="1" t="s">
        <v>970</v>
      </c>
      <c r="AC1269" s="5">
        <v>43206</v>
      </c>
      <c r="AF1269" s="1">
        <v>10013</v>
      </c>
      <c r="AI1269" s="1" t="s">
        <v>971</v>
      </c>
      <c r="AJ1269" s="1">
        <v>1893</v>
      </c>
      <c r="AK1269" s="1" t="s">
        <v>972</v>
      </c>
      <c r="AL1269" s="1">
        <v>18</v>
      </c>
    </row>
    <row r="1270" spans="1:38" x14ac:dyDescent="0.2">
      <c r="A1270" s="2" t="str">
        <f>HYPERLINK("https://www.compass.com/listing/75-kenmare-street-unit-4f-manhattan-ny-10012/502596469023506753/","75 Kenmare St, Unit 4F")</f>
        <v>75 Kenmare St, Unit 4F</v>
      </c>
      <c r="B1270" s="2" t="str">
        <f>HYPERLINK("https://www.compass.com/building/75-kenmare-street-manhattan-ny/292810164757628581/","75 Kenmare Street")</f>
        <v>75 Kenmare Street</v>
      </c>
      <c r="C1270" s="1" t="s">
        <v>118</v>
      </c>
      <c r="D1270" s="1" t="s">
        <v>41</v>
      </c>
      <c r="E1270" s="3">
        <v>3359497</v>
      </c>
      <c r="F1270" s="1">
        <v>2522.1448048048001</v>
      </c>
      <c r="H1270" s="1">
        <v>2</v>
      </c>
      <c r="J1270" s="1">
        <v>2</v>
      </c>
      <c r="K1270" s="1">
        <v>2</v>
      </c>
      <c r="M1270" s="4">
        <v>1332</v>
      </c>
      <c r="N1270" s="1">
        <v>1452</v>
      </c>
      <c r="O1270" s="1">
        <v>2579</v>
      </c>
      <c r="P1270" s="1">
        <v>1127</v>
      </c>
      <c r="Q1270" s="1" t="s">
        <v>42</v>
      </c>
      <c r="S1270" s="1" t="s">
        <v>42</v>
      </c>
      <c r="T1270" s="1" t="s">
        <v>203</v>
      </c>
      <c r="AA1270" s="1">
        <v>3359496.88</v>
      </c>
      <c r="AB1270" s="1" t="s">
        <v>973</v>
      </c>
      <c r="AC1270" s="5">
        <v>43921</v>
      </c>
      <c r="AF1270" s="1">
        <v>10012</v>
      </c>
      <c r="AI1270" s="1" t="s">
        <v>76</v>
      </c>
      <c r="AJ1270" s="1">
        <v>2017</v>
      </c>
      <c r="AK1270" s="1" t="s">
        <v>46</v>
      </c>
      <c r="AL1270" s="1">
        <v>38</v>
      </c>
    </row>
    <row r="1271" spans="1:38" x14ac:dyDescent="0.2">
      <c r="A1271" s="2" t="str">
        <f>HYPERLINK("https://www.compass.com/listing/133-mulberry-street-unit-6a-manhattan-ny-10013/29359714668155633/","133 Mulberry St, Unit 6A")</f>
        <v>133 Mulberry St, Unit 6A</v>
      </c>
      <c r="B1271" s="2" t="str">
        <f t="shared" ref="B1271:B1273" si="231">HYPERLINK("https://www.compass.com/building/133-mulberry-st-manhattan-ny-10013/281916941336083477/","133 Mulberry St")</f>
        <v>133 Mulberry St</v>
      </c>
      <c r="C1271" s="1" t="s">
        <v>135</v>
      </c>
      <c r="D1271" s="1" t="s">
        <v>41</v>
      </c>
      <c r="E1271" s="3">
        <v>2450000</v>
      </c>
      <c r="F1271" s="1">
        <v>1586.78756476683</v>
      </c>
      <c r="G1271" s="1">
        <v>6</v>
      </c>
      <c r="H1271" s="1">
        <v>2</v>
      </c>
      <c r="I1271" s="1">
        <v>2</v>
      </c>
      <c r="J1271" s="1">
        <v>2</v>
      </c>
      <c r="K1271" s="1">
        <v>2</v>
      </c>
      <c r="M1271" s="4">
        <v>1544</v>
      </c>
      <c r="Q1271" s="1" t="s">
        <v>42</v>
      </c>
      <c r="S1271" s="1" t="s">
        <v>42</v>
      </c>
      <c r="T1271" s="1" t="s">
        <v>203</v>
      </c>
      <c r="U1271" s="1">
        <v>304</v>
      </c>
      <c r="V1271" s="5">
        <v>42962</v>
      </c>
      <c r="W1271" s="5">
        <v>42356</v>
      </c>
      <c r="X1271" s="1">
        <v>2800000</v>
      </c>
      <c r="Y1271" s="1">
        <v>2550000</v>
      </c>
      <c r="AA1271" s="1">
        <v>2450000</v>
      </c>
      <c r="AB1271" s="1" t="s">
        <v>974</v>
      </c>
      <c r="AC1271" s="5">
        <v>42822</v>
      </c>
      <c r="AF1271" s="1">
        <v>10013</v>
      </c>
      <c r="AI1271" s="1" t="s">
        <v>166</v>
      </c>
      <c r="AJ1271" s="1">
        <v>1893</v>
      </c>
      <c r="AK1271" s="1" t="s">
        <v>137</v>
      </c>
      <c r="AL1271" s="1">
        <v>18</v>
      </c>
    </row>
    <row r="1272" spans="1:38" x14ac:dyDescent="0.2">
      <c r="A1272" s="2" t="str">
        <f>HYPERLINK("https://www.compass.com/listing/133-mulberry-street-unit-5b-manhattan-ny-10013/29359713594413793/","133 Mulberry St, Unit 5B")</f>
        <v>133 Mulberry St, Unit 5B</v>
      </c>
      <c r="B1272" s="2" t="str">
        <f t="shared" si="231"/>
        <v>133 Mulberry St</v>
      </c>
      <c r="C1272" s="1" t="s">
        <v>135</v>
      </c>
      <c r="D1272" s="1" t="s">
        <v>41</v>
      </c>
      <c r="E1272" s="3">
        <v>2425981</v>
      </c>
      <c r="F1272" s="1">
        <v>1795.69282013323</v>
      </c>
      <c r="G1272" s="1">
        <v>4</v>
      </c>
      <c r="H1272" s="1">
        <v>3</v>
      </c>
      <c r="I1272" s="1">
        <v>2</v>
      </c>
      <c r="J1272" s="1">
        <v>2</v>
      </c>
      <c r="K1272" s="1">
        <v>2</v>
      </c>
      <c r="M1272" s="4">
        <v>1351</v>
      </c>
      <c r="N1272" s="1">
        <v>1019</v>
      </c>
      <c r="O1272" s="1">
        <v>2436</v>
      </c>
      <c r="P1272" s="1">
        <v>1417</v>
      </c>
      <c r="Q1272" s="1" t="s">
        <v>42</v>
      </c>
      <c r="S1272" s="1" t="s">
        <v>42</v>
      </c>
      <c r="T1272" s="1" t="s">
        <v>203</v>
      </c>
      <c r="V1272" s="5">
        <v>43665</v>
      </c>
      <c r="W1272" s="5">
        <v>42294</v>
      </c>
      <c r="X1272" s="1">
        <v>2400000</v>
      </c>
      <c r="Y1272" s="1">
        <v>2400000</v>
      </c>
      <c r="Z1272" s="5">
        <v>42294</v>
      </c>
      <c r="AA1272" s="1">
        <v>2425981</v>
      </c>
      <c r="AB1272" s="1" t="s">
        <v>975</v>
      </c>
      <c r="AC1272" s="5">
        <v>42517</v>
      </c>
      <c r="AF1272" s="1">
        <v>10013</v>
      </c>
      <c r="AI1272" s="1" t="s">
        <v>971</v>
      </c>
      <c r="AJ1272" s="1">
        <v>1893</v>
      </c>
      <c r="AK1272" s="1" t="s">
        <v>137</v>
      </c>
      <c r="AL1272" s="1">
        <v>18</v>
      </c>
    </row>
    <row r="1273" spans="1:38" x14ac:dyDescent="0.2">
      <c r="A1273" s="2" t="str">
        <f>HYPERLINK("https://www.compass.com/listing/133-mulberry-street-unit-4d-manhattan-ny-10013/29510348642043281/","133 Mulberry St, Unit 4D")</f>
        <v>133 Mulberry St, Unit 4D</v>
      </c>
      <c r="B1273" s="2" t="str">
        <f t="shared" si="231"/>
        <v>133 Mulberry St</v>
      </c>
      <c r="C1273" s="1" t="s">
        <v>135</v>
      </c>
      <c r="D1273" s="1" t="s">
        <v>41</v>
      </c>
      <c r="E1273" s="3">
        <v>2275000</v>
      </c>
      <c r="F1273" s="1">
        <v>1250</v>
      </c>
      <c r="G1273" s="1">
        <v>5</v>
      </c>
      <c r="H1273" s="1">
        <v>3</v>
      </c>
      <c r="I1273" s="1">
        <v>2</v>
      </c>
      <c r="J1273" s="1">
        <v>2</v>
      </c>
      <c r="K1273" s="1">
        <v>2</v>
      </c>
      <c r="M1273" s="4">
        <v>1820</v>
      </c>
      <c r="N1273" s="1">
        <v>1213</v>
      </c>
      <c r="O1273" s="1">
        <v>3033</v>
      </c>
      <c r="P1273" s="1">
        <v>1820</v>
      </c>
      <c r="Q1273" s="1" t="s">
        <v>42</v>
      </c>
      <c r="S1273" s="1" t="s">
        <v>42</v>
      </c>
      <c r="T1273" s="1" t="s">
        <v>203</v>
      </c>
      <c r="U1273" s="1">
        <v>181</v>
      </c>
      <c r="V1273" s="5">
        <v>43637</v>
      </c>
      <c r="W1273" s="5">
        <v>43369</v>
      </c>
      <c r="X1273" s="1">
        <v>2475000</v>
      </c>
      <c r="Y1273" s="1">
        <v>2449000</v>
      </c>
      <c r="Z1273" s="5">
        <v>43550</v>
      </c>
      <c r="AA1273" s="1">
        <v>2275000</v>
      </c>
      <c r="AB1273" s="1" t="s">
        <v>976</v>
      </c>
      <c r="AC1273" s="5">
        <v>43584</v>
      </c>
      <c r="AF1273" s="1">
        <v>10013</v>
      </c>
      <c r="AI1273" s="1" t="s">
        <v>166</v>
      </c>
      <c r="AJ1273" s="1">
        <v>1893</v>
      </c>
      <c r="AK1273" s="1" t="s">
        <v>972</v>
      </c>
      <c r="AL1273" s="1">
        <v>18</v>
      </c>
    </row>
    <row r="1274" spans="1:38" x14ac:dyDescent="0.2">
      <c r="A1274" s="2" t="str">
        <f>HYPERLINK("https://www.compass.com/listing/75-kenmare-street-unit-3j-manhattan-ny-10012/450421081783214673/","75 Kenmare St, Unit 3J")</f>
        <v>75 Kenmare St, Unit 3J</v>
      </c>
      <c r="B1274" s="2" t="str">
        <f>HYPERLINK("https://www.compass.com/building/75-kenmare-street-manhattan-ny/292810164757628581/","75 Kenmare Street")</f>
        <v>75 Kenmare Street</v>
      </c>
      <c r="C1274" s="1" t="s">
        <v>118</v>
      </c>
      <c r="D1274" s="1" t="s">
        <v>41</v>
      </c>
      <c r="E1274" s="3">
        <v>2952925</v>
      </c>
      <c r="F1274" s="1">
        <v>2970.7494969818899</v>
      </c>
      <c r="H1274" s="1">
        <v>2</v>
      </c>
      <c r="J1274" s="1">
        <v>2</v>
      </c>
      <c r="K1274" s="1">
        <v>2</v>
      </c>
      <c r="M1274" s="1">
        <v>994</v>
      </c>
      <c r="N1274" s="1">
        <v>1104</v>
      </c>
      <c r="O1274" s="1">
        <v>1971</v>
      </c>
      <c r="P1274" s="1">
        <v>867</v>
      </c>
      <c r="Q1274" s="1" t="s">
        <v>42</v>
      </c>
      <c r="S1274" s="1" t="s">
        <v>42</v>
      </c>
      <c r="T1274" s="1" t="s">
        <v>203</v>
      </c>
      <c r="AA1274" s="1">
        <v>2952925</v>
      </c>
      <c r="AB1274" s="1" t="s">
        <v>977</v>
      </c>
      <c r="AC1274" s="5">
        <v>43860</v>
      </c>
      <c r="AF1274" s="1">
        <v>10012</v>
      </c>
      <c r="AI1274" s="1" t="s">
        <v>76</v>
      </c>
      <c r="AJ1274" s="1">
        <v>2017</v>
      </c>
      <c r="AK1274" s="1" t="s">
        <v>46</v>
      </c>
      <c r="AL1274" s="1">
        <v>38</v>
      </c>
    </row>
    <row r="1275" spans="1:38" x14ac:dyDescent="0.2">
      <c r="A1275" s="2" t="str">
        <f>HYPERLINK("https://www.compass.com/listing/133-mulberry-street-unit-4d-manhattan-ny-10013/70926356585668625/","133 Mulberry St, Unit 4D")</f>
        <v>133 Mulberry St, Unit 4D</v>
      </c>
      <c r="B1275" s="2" t="str">
        <f t="shared" ref="B1275:B1277" si="232">HYPERLINK("https://www.compass.com/building/133-mulberry-st-manhattan-ny-10013/281916941336083477/","133 Mulberry St")</f>
        <v>133 Mulberry St</v>
      </c>
      <c r="C1275" s="1" t="s">
        <v>135</v>
      </c>
      <c r="D1275" s="1" t="s">
        <v>41</v>
      </c>
      <c r="E1275" s="3">
        <v>2291063</v>
      </c>
      <c r="F1275" s="1">
        <v>1258.8255494505399</v>
      </c>
      <c r="G1275" s="1">
        <v>4</v>
      </c>
      <c r="H1275" s="1">
        <v>2</v>
      </c>
      <c r="I1275" s="1">
        <v>2</v>
      </c>
      <c r="J1275" s="1">
        <v>2</v>
      </c>
      <c r="K1275" s="1">
        <v>2</v>
      </c>
      <c r="M1275" s="4">
        <v>1820</v>
      </c>
      <c r="Q1275" s="1" t="s">
        <v>42</v>
      </c>
      <c r="S1275" s="1" t="s">
        <v>42</v>
      </c>
      <c r="T1275" s="1" t="s">
        <v>203</v>
      </c>
      <c r="U1275" s="1">
        <v>315</v>
      </c>
      <c r="V1275" s="5">
        <v>43630</v>
      </c>
      <c r="W1275" s="5">
        <v>42543</v>
      </c>
      <c r="X1275" s="1">
        <v>2800000</v>
      </c>
      <c r="Y1275" s="1">
        <v>2450000</v>
      </c>
      <c r="Z1275" s="5">
        <v>42875</v>
      </c>
      <c r="AA1275" s="1">
        <v>2291062.5</v>
      </c>
      <c r="AB1275" s="1" t="s">
        <v>978</v>
      </c>
      <c r="AC1275" s="5">
        <v>42971</v>
      </c>
      <c r="AF1275" s="1">
        <v>10013</v>
      </c>
      <c r="AI1275" s="1" t="s">
        <v>971</v>
      </c>
      <c r="AJ1275" s="1">
        <v>1893</v>
      </c>
      <c r="AK1275" s="1" t="s">
        <v>137</v>
      </c>
      <c r="AL1275" s="1">
        <v>18</v>
      </c>
    </row>
    <row r="1276" spans="1:38" x14ac:dyDescent="0.2">
      <c r="A1276" s="2" t="str">
        <f>HYPERLINK("https://www.compass.com/listing/133-mulberry-street-unit-3c-manhattan-ny-10013/801619942461636417/","133 Mulberry St, Unit 3C")</f>
        <v>133 Mulberry St, Unit 3C</v>
      </c>
      <c r="B1276" s="2" t="str">
        <f t="shared" si="232"/>
        <v>133 Mulberry St</v>
      </c>
      <c r="C1276" s="1" t="s">
        <v>135</v>
      </c>
      <c r="D1276" s="1" t="s">
        <v>41</v>
      </c>
      <c r="E1276" s="3">
        <v>2250000</v>
      </c>
      <c r="F1276" s="1">
        <v>1625.7225433526</v>
      </c>
      <c r="G1276" s="1">
        <v>6</v>
      </c>
      <c r="H1276" s="1">
        <v>2</v>
      </c>
      <c r="I1276" s="1">
        <v>2</v>
      </c>
      <c r="J1276" s="1">
        <v>2</v>
      </c>
      <c r="K1276" s="1">
        <v>2</v>
      </c>
      <c r="M1276" s="4">
        <v>1384</v>
      </c>
      <c r="N1276" s="1">
        <v>1042</v>
      </c>
      <c r="O1276" s="1">
        <v>2494</v>
      </c>
      <c r="P1276" s="1">
        <v>1452</v>
      </c>
      <c r="Q1276" s="1" t="s">
        <v>42</v>
      </c>
      <c r="S1276" s="1" t="s">
        <v>42</v>
      </c>
      <c r="T1276" s="1" t="s">
        <v>203</v>
      </c>
      <c r="U1276" s="1">
        <v>33</v>
      </c>
      <c r="V1276" s="5">
        <v>42628</v>
      </c>
      <c r="W1276" s="5">
        <v>42500</v>
      </c>
      <c r="X1276" s="1">
        <v>2325000</v>
      </c>
      <c r="Y1276" s="1">
        <v>2325000</v>
      </c>
      <c r="Z1276" s="5">
        <v>42534</v>
      </c>
      <c r="AA1276" s="1">
        <v>2250000</v>
      </c>
      <c r="AB1276" s="1" t="s">
        <v>979</v>
      </c>
      <c r="AC1276" s="5">
        <v>42601</v>
      </c>
      <c r="AF1276" s="1">
        <v>10013</v>
      </c>
      <c r="AI1276" s="1" t="s">
        <v>971</v>
      </c>
      <c r="AJ1276" s="1">
        <v>1893</v>
      </c>
      <c r="AK1276" s="1" t="s">
        <v>137</v>
      </c>
      <c r="AL1276" s="1">
        <v>18</v>
      </c>
    </row>
    <row r="1277" spans="1:38" x14ac:dyDescent="0.2">
      <c r="A1277" s="2" t="str">
        <f>HYPERLINK("https://www.compass.com/listing/133-mulberry-street-unit-5c-manhattan-ny-10013/803303709941536937/","133 Mulberry St, Unit 5C")</f>
        <v>133 Mulberry St, Unit 5C</v>
      </c>
      <c r="B1277" s="2" t="str">
        <f t="shared" si="232"/>
        <v>133 Mulberry St</v>
      </c>
      <c r="C1277" s="1" t="s">
        <v>135</v>
      </c>
      <c r="D1277" s="1" t="s">
        <v>41</v>
      </c>
      <c r="E1277" s="3">
        <v>1975000</v>
      </c>
      <c r="F1277" s="1">
        <v>1427.0231213872801</v>
      </c>
      <c r="G1277" s="1">
        <v>4</v>
      </c>
      <c r="H1277" s="1">
        <v>2</v>
      </c>
      <c r="I1277" s="1">
        <v>2</v>
      </c>
      <c r="J1277" s="1">
        <v>2</v>
      </c>
      <c r="M1277" s="4">
        <v>1384</v>
      </c>
      <c r="N1277" s="1">
        <v>921</v>
      </c>
      <c r="O1277" s="1">
        <v>2609</v>
      </c>
      <c r="P1277" s="1">
        <v>1688</v>
      </c>
      <c r="Q1277" s="1" t="s">
        <v>42</v>
      </c>
      <c r="S1277" s="1" t="s">
        <v>42</v>
      </c>
      <c r="T1277" s="1" t="s">
        <v>203</v>
      </c>
      <c r="U1277" s="1">
        <v>76</v>
      </c>
      <c r="V1277" s="5">
        <v>43138</v>
      </c>
      <c r="W1277" s="5">
        <v>43053</v>
      </c>
      <c r="X1277" s="1">
        <v>1995000</v>
      </c>
      <c r="Y1277" s="1">
        <v>1995000</v>
      </c>
      <c r="Z1277" s="5">
        <v>43131</v>
      </c>
      <c r="AA1277" s="1">
        <v>1975000</v>
      </c>
      <c r="AB1277" s="1" t="s">
        <v>980</v>
      </c>
      <c r="AC1277" s="5">
        <v>43129</v>
      </c>
      <c r="AF1277" s="1">
        <v>10013</v>
      </c>
      <c r="AI1277" s="1" t="s">
        <v>971</v>
      </c>
      <c r="AJ1277" s="1">
        <v>1893</v>
      </c>
      <c r="AK1277" s="1" t="s">
        <v>137</v>
      </c>
      <c r="AL1277" s="1">
        <v>18</v>
      </c>
    </row>
    <row r="1278" spans="1:38" x14ac:dyDescent="0.2">
      <c r="A1278" s="2" t="str">
        <f>HYPERLINK("https://www.compass.com/listing/15-leonard-street-unit-6-manhattan-ny-10013/50867598161730449/","15 Leonard St, Unit 6")</f>
        <v>15 Leonard St, Unit 6</v>
      </c>
      <c r="B1278" s="2" t="str">
        <f>HYPERLINK("https://www.compass.com/building/15-leonard-st-manhattan-ny-10013/281917245892885845/","15 Leonard St")</f>
        <v>15 Leonard St</v>
      </c>
      <c r="C1278" s="1" t="s">
        <v>40</v>
      </c>
      <c r="D1278" s="1" t="s">
        <v>41</v>
      </c>
      <c r="E1278" s="3">
        <v>7127750</v>
      </c>
      <c r="F1278" s="1">
        <v>2719.4772987409301</v>
      </c>
      <c r="G1278" s="1">
        <v>6</v>
      </c>
      <c r="H1278" s="1">
        <v>4</v>
      </c>
      <c r="I1278" s="1">
        <v>4</v>
      </c>
      <c r="J1278" s="1">
        <v>3.5</v>
      </c>
      <c r="K1278" s="1">
        <v>3</v>
      </c>
      <c r="L1278" s="1">
        <v>1</v>
      </c>
      <c r="M1278" s="4">
        <v>2621</v>
      </c>
      <c r="N1278" s="1">
        <v>1956</v>
      </c>
      <c r="O1278" s="1">
        <v>4225</v>
      </c>
      <c r="P1278" s="1">
        <v>2269</v>
      </c>
      <c r="Q1278" s="1" t="s">
        <v>42</v>
      </c>
      <c r="S1278" s="1" t="s">
        <v>42</v>
      </c>
      <c r="T1278" s="1" t="s">
        <v>203</v>
      </c>
      <c r="U1278" s="1">
        <v>161</v>
      </c>
      <c r="V1278" s="5">
        <v>43664</v>
      </c>
      <c r="W1278" s="5">
        <v>42649</v>
      </c>
      <c r="X1278" s="1">
        <v>7350000</v>
      </c>
      <c r="Y1278" s="1">
        <v>6998000</v>
      </c>
      <c r="AA1278" s="1">
        <v>7127750</v>
      </c>
      <c r="AB1278" s="1" t="s">
        <v>981</v>
      </c>
      <c r="AC1278" s="5">
        <v>42810</v>
      </c>
      <c r="AF1278" s="1">
        <v>10013</v>
      </c>
      <c r="AI1278" s="1" t="s">
        <v>148</v>
      </c>
      <c r="AJ1278" s="1">
        <v>2014</v>
      </c>
      <c r="AL1278" s="1">
        <v>6</v>
      </c>
    </row>
    <row r="1279" spans="1:38" x14ac:dyDescent="0.2">
      <c r="A1279" s="2" t="str">
        <f>HYPERLINK("https://www.compass.com/listing/133-mulberry-street-unit-3b-manhattan-ny-10013/29359711505650369/","133 Mulberry St, Unit 3B")</f>
        <v>133 Mulberry St, Unit 3B</v>
      </c>
      <c r="B1279" s="2" t="str">
        <f t="shared" ref="B1279:B1281" si="233">HYPERLINK("https://www.compass.com/building/133-mulberry-st-manhattan-ny-10013/281916941336083477/","133 Mulberry St")</f>
        <v>133 Mulberry St</v>
      </c>
      <c r="C1279" s="1" t="s">
        <v>135</v>
      </c>
      <c r="D1279" s="1" t="s">
        <v>41</v>
      </c>
      <c r="E1279" s="3">
        <v>1998316</v>
      </c>
      <c r="F1279" s="1">
        <v>1479.13841598815</v>
      </c>
      <c r="G1279" s="1">
        <v>6</v>
      </c>
      <c r="H1279" s="1">
        <v>2</v>
      </c>
      <c r="I1279" s="1">
        <v>2</v>
      </c>
      <c r="J1279" s="1">
        <v>2</v>
      </c>
      <c r="K1279" s="1">
        <v>2</v>
      </c>
      <c r="M1279" s="4">
        <v>1351</v>
      </c>
      <c r="N1279" s="1">
        <v>1019</v>
      </c>
      <c r="O1279" s="1">
        <v>2437</v>
      </c>
      <c r="P1279" s="1">
        <v>1418</v>
      </c>
      <c r="Q1279" s="1" t="s">
        <v>42</v>
      </c>
      <c r="S1279" s="1" t="s">
        <v>42</v>
      </c>
      <c r="T1279" s="1" t="s">
        <v>203</v>
      </c>
      <c r="U1279" s="1">
        <v>48</v>
      </c>
      <c r="V1279" s="5">
        <v>43665</v>
      </c>
      <c r="W1279" s="5">
        <v>42375</v>
      </c>
      <c r="X1279" s="1">
        <v>2000000</v>
      </c>
      <c r="Y1279" s="1">
        <v>2000000</v>
      </c>
      <c r="Z1279" s="5">
        <v>42423</v>
      </c>
      <c r="AA1279" s="1">
        <v>1998316</v>
      </c>
      <c r="AB1279" s="1" t="s">
        <v>982</v>
      </c>
      <c r="AC1279" s="5">
        <v>42530</v>
      </c>
      <c r="AF1279" s="1">
        <v>10013</v>
      </c>
      <c r="AI1279" s="1" t="s">
        <v>166</v>
      </c>
      <c r="AJ1279" s="1">
        <v>1893</v>
      </c>
      <c r="AK1279" s="1" t="s">
        <v>137</v>
      </c>
      <c r="AL1279" s="1">
        <v>18</v>
      </c>
    </row>
    <row r="1280" spans="1:38" x14ac:dyDescent="0.2">
      <c r="A1280" s="2" t="str">
        <f>HYPERLINK("https://www.compass.com/listing/133-mulberry-street-unit-4b-manhattan-ny-10013/29359712478728913/","133 Mulberry St, Unit 4B")</f>
        <v>133 Mulberry St, Unit 4B</v>
      </c>
      <c r="B1280" s="2" t="str">
        <f t="shared" si="233"/>
        <v>133 Mulberry St</v>
      </c>
      <c r="C1280" s="1" t="s">
        <v>135</v>
      </c>
      <c r="D1280" s="1" t="s">
        <v>41</v>
      </c>
      <c r="E1280" s="3">
        <v>2087413</v>
      </c>
      <c r="F1280" s="1">
        <v>1545.0873427091001</v>
      </c>
      <c r="G1280" s="1">
        <v>6</v>
      </c>
      <c r="H1280" s="1">
        <v>2</v>
      </c>
      <c r="I1280" s="1">
        <v>2</v>
      </c>
      <c r="J1280" s="1">
        <v>2</v>
      </c>
      <c r="K1280" s="1">
        <v>2</v>
      </c>
      <c r="M1280" s="4">
        <v>1351</v>
      </c>
      <c r="N1280" s="1">
        <v>1019.08</v>
      </c>
      <c r="O1280" s="1">
        <v>2436.9299999999998</v>
      </c>
      <c r="P1280" s="1">
        <v>1417.8333333333301</v>
      </c>
      <c r="Q1280" s="1" t="s">
        <v>42</v>
      </c>
      <c r="S1280" s="1" t="s">
        <v>42</v>
      </c>
      <c r="T1280" s="1" t="s">
        <v>203</v>
      </c>
      <c r="U1280" s="1">
        <v>161</v>
      </c>
      <c r="V1280" s="5">
        <v>43677</v>
      </c>
      <c r="W1280" s="5">
        <v>42214</v>
      </c>
      <c r="X1280" s="1">
        <v>2300000</v>
      </c>
      <c r="Y1280" s="1">
        <v>2275000</v>
      </c>
      <c r="Z1280" s="5">
        <v>42375</v>
      </c>
      <c r="AA1280" s="1">
        <v>2087413</v>
      </c>
      <c r="AB1280" s="1" t="s">
        <v>983</v>
      </c>
      <c r="AC1280" s="5">
        <v>42517</v>
      </c>
      <c r="AF1280" s="1">
        <v>10013</v>
      </c>
      <c r="AI1280" s="1" t="s">
        <v>166</v>
      </c>
      <c r="AJ1280" s="1">
        <v>1893</v>
      </c>
      <c r="AK1280" s="1" t="s">
        <v>137</v>
      </c>
      <c r="AL1280" s="1">
        <v>18</v>
      </c>
    </row>
    <row r="1281" spans="1:38" x14ac:dyDescent="0.2">
      <c r="A1281" s="2" t="str">
        <f>HYPERLINK("https://www.compass.com/listing/133-mulberry-street-unit-5a-manhattan-ny-10013/29359713158241889/","133 Mulberry St, Unit 5A")</f>
        <v>133 Mulberry St, Unit 5A</v>
      </c>
      <c r="B1281" s="2" t="str">
        <f t="shared" si="233"/>
        <v>133 Mulberry St</v>
      </c>
      <c r="C1281" s="1" t="s">
        <v>135</v>
      </c>
      <c r="D1281" s="1" t="s">
        <v>41</v>
      </c>
      <c r="E1281" s="3">
        <v>2000000</v>
      </c>
      <c r="F1281" s="1">
        <v>1295.33678756476</v>
      </c>
      <c r="G1281" s="1">
        <v>3</v>
      </c>
      <c r="H1281" s="1">
        <v>2</v>
      </c>
      <c r="I1281" s="1">
        <v>2</v>
      </c>
      <c r="J1281" s="1">
        <v>2</v>
      </c>
      <c r="K1281" s="1">
        <v>2</v>
      </c>
      <c r="M1281" s="4">
        <v>1544</v>
      </c>
      <c r="N1281" s="1">
        <v>1029</v>
      </c>
      <c r="O1281" s="1">
        <v>2915</v>
      </c>
      <c r="P1281" s="1">
        <v>1886</v>
      </c>
      <c r="Q1281" s="1" t="s">
        <v>42</v>
      </c>
      <c r="S1281" s="1" t="s">
        <v>42</v>
      </c>
      <c r="T1281" s="1" t="s">
        <v>203</v>
      </c>
      <c r="U1281" s="1">
        <v>156</v>
      </c>
      <c r="V1281" s="5">
        <v>44287</v>
      </c>
      <c r="W1281" s="5">
        <v>42858</v>
      </c>
      <c r="X1281" s="1">
        <v>2250000</v>
      </c>
      <c r="Y1281" s="1">
        <v>2100000</v>
      </c>
      <c r="Z1281" s="5">
        <v>43018</v>
      </c>
      <c r="AA1281" s="1">
        <v>2000000</v>
      </c>
      <c r="AB1281" s="1" t="s">
        <v>984</v>
      </c>
      <c r="AC1281" s="5">
        <v>43210</v>
      </c>
      <c r="AF1281" s="1">
        <v>10013</v>
      </c>
      <c r="AI1281" s="1" t="s">
        <v>45</v>
      </c>
      <c r="AJ1281" s="1">
        <v>1893</v>
      </c>
      <c r="AK1281" s="1" t="s">
        <v>137</v>
      </c>
      <c r="AL1281" s="1">
        <v>18</v>
      </c>
    </row>
    <row r="1282" spans="1:38" x14ac:dyDescent="0.2">
      <c r="A1282" s="2" t="str">
        <f>HYPERLINK("https://www.compass.com/listing/91-leonard-street-unit-9c-manhattan-ny-10013/247628602403840273/","91 Leonard St, Unit 9C")</f>
        <v>91 Leonard St, Unit 9C</v>
      </c>
      <c r="B1282" s="2" t="str">
        <f>HYPERLINK("https://www.compass.com/building/91-leonard-manhattan-ny/282058661633754165/","91 Leonard")</f>
        <v>91 Leonard</v>
      </c>
      <c r="C1282" s="1" t="s">
        <v>40</v>
      </c>
      <c r="D1282" s="1" t="s">
        <v>41</v>
      </c>
      <c r="E1282" s="3">
        <v>2690000</v>
      </c>
      <c r="F1282" s="1">
        <v>1761.6240995415801</v>
      </c>
      <c r="G1282" s="1">
        <v>3.5</v>
      </c>
      <c r="H1282" s="1">
        <v>2</v>
      </c>
      <c r="I1282" s="1">
        <v>3</v>
      </c>
      <c r="J1282" s="1">
        <v>2.5</v>
      </c>
      <c r="K1282" s="1">
        <v>2</v>
      </c>
      <c r="L1282" s="1">
        <v>1</v>
      </c>
      <c r="M1282" s="4">
        <v>1527</v>
      </c>
      <c r="N1282" s="1">
        <v>1859</v>
      </c>
      <c r="O1282" s="1">
        <v>4698</v>
      </c>
      <c r="P1282" s="1">
        <v>2839</v>
      </c>
      <c r="Q1282" s="1" t="s">
        <v>42</v>
      </c>
      <c r="S1282" s="1" t="s">
        <v>42</v>
      </c>
      <c r="T1282" s="1" t="s">
        <v>203</v>
      </c>
      <c r="U1282" s="1">
        <v>6</v>
      </c>
      <c r="V1282" s="5">
        <v>44314</v>
      </c>
      <c r="W1282" s="5">
        <v>43587</v>
      </c>
      <c r="X1282" s="1">
        <v>2960000</v>
      </c>
      <c r="Y1282" s="1">
        <v>2960000</v>
      </c>
      <c r="Z1282" s="5">
        <v>43593</v>
      </c>
      <c r="AA1282" s="1">
        <v>2690000</v>
      </c>
      <c r="AB1282" s="1" t="s">
        <v>985</v>
      </c>
      <c r="AC1282" s="5">
        <v>43683</v>
      </c>
      <c r="AF1282" s="1">
        <v>10013</v>
      </c>
      <c r="AI1282" s="1" t="s">
        <v>103</v>
      </c>
      <c r="AJ1282" s="1">
        <v>2016</v>
      </c>
      <c r="AK1282" s="1" t="s">
        <v>81</v>
      </c>
      <c r="AL1282" s="1">
        <v>111</v>
      </c>
    </row>
    <row r="1283" spans="1:38" x14ac:dyDescent="0.2">
      <c r="A1283" s="2" t="str">
        <f>HYPERLINK("https://www.compass.com/listing/133-mulberry-street-unit-5b-manhattan-ny-10013/785547656272993409/","133 Mulberry St, Unit 5B")</f>
        <v>133 Mulberry St, Unit 5B</v>
      </c>
      <c r="B1283" s="2" t="str">
        <f t="shared" ref="B1283:B1284" si="234">HYPERLINK("https://www.compass.com/building/133-mulberry-st-manhattan-ny-10013/281916941336083477/","133 Mulberry St")</f>
        <v>133 Mulberry St</v>
      </c>
      <c r="C1283" s="1" t="s">
        <v>135</v>
      </c>
      <c r="D1283" s="1" t="s">
        <v>41</v>
      </c>
      <c r="E1283" s="3">
        <v>2425981</v>
      </c>
      <c r="F1283" s="1">
        <v>1795.69254626202</v>
      </c>
      <c r="G1283" s="1">
        <v>7</v>
      </c>
      <c r="H1283" s="1">
        <v>3</v>
      </c>
      <c r="I1283" s="1">
        <v>2</v>
      </c>
      <c r="J1283" s="1">
        <v>2</v>
      </c>
      <c r="M1283" s="4">
        <v>1351</v>
      </c>
      <c r="N1283" s="1">
        <v>607</v>
      </c>
      <c r="O1283" s="1">
        <v>2024</v>
      </c>
      <c r="P1283" s="1">
        <v>1417</v>
      </c>
      <c r="Q1283" s="1" t="s">
        <v>42</v>
      </c>
      <c r="S1283" s="1" t="s">
        <v>42</v>
      </c>
      <c r="T1283" s="1" t="s">
        <v>203</v>
      </c>
      <c r="U1283" s="1">
        <v>122</v>
      </c>
      <c r="V1283" s="5">
        <v>42423</v>
      </c>
      <c r="W1283" s="5">
        <v>42054</v>
      </c>
      <c r="X1283" s="1">
        <v>2750000</v>
      </c>
      <c r="Y1283" s="1">
        <v>2400000</v>
      </c>
      <c r="AA1283" s="1">
        <v>2425980.63</v>
      </c>
      <c r="AB1283" s="1" t="s">
        <v>975</v>
      </c>
      <c r="AC1283" s="5">
        <v>42516</v>
      </c>
      <c r="AF1283" s="1">
        <v>10013</v>
      </c>
      <c r="AI1283" s="1" t="s">
        <v>166</v>
      </c>
      <c r="AJ1283" s="1">
        <v>1893</v>
      </c>
      <c r="AK1283" s="1" t="s">
        <v>59</v>
      </c>
      <c r="AL1283" s="1">
        <v>18</v>
      </c>
    </row>
    <row r="1284" spans="1:38" x14ac:dyDescent="0.2">
      <c r="A1284" s="2" t="str">
        <f>HYPERLINK("https://www.compass.com/listing/133-mulberry-street-unit-5d-manhattan-ny-10013/29359714349424241/","133 Mulberry St, Unit 5D")</f>
        <v>133 Mulberry St, Unit 5D</v>
      </c>
      <c r="B1284" s="2" t="str">
        <f t="shared" si="234"/>
        <v>133 Mulberry St</v>
      </c>
      <c r="C1284" s="1" t="s">
        <v>135</v>
      </c>
      <c r="D1284" s="1" t="s">
        <v>41</v>
      </c>
      <c r="E1284" s="3">
        <v>2275000</v>
      </c>
      <c r="F1284" s="1">
        <v>1250</v>
      </c>
      <c r="G1284" s="1">
        <v>5</v>
      </c>
      <c r="H1284" s="1">
        <v>2</v>
      </c>
      <c r="I1284" s="1">
        <v>2</v>
      </c>
      <c r="J1284" s="1">
        <v>2</v>
      </c>
      <c r="K1284" s="1">
        <v>2</v>
      </c>
      <c r="M1284" s="4">
        <v>1820</v>
      </c>
      <c r="N1284" s="1">
        <v>1</v>
      </c>
      <c r="O1284" s="1">
        <v>2</v>
      </c>
      <c r="P1284" s="1">
        <v>1</v>
      </c>
      <c r="Q1284" s="1" t="s">
        <v>42</v>
      </c>
      <c r="S1284" s="1" t="s">
        <v>42</v>
      </c>
      <c r="T1284" s="1" t="s">
        <v>203</v>
      </c>
      <c r="U1284" s="1">
        <v>14</v>
      </c>
      <c r="V1284" s="5">
        <v>43630</v>
      </c>
      <c r="W1284" s="5">
        <v>42858</v>
      </c>
      <c r="X1284" s="1">
        <v>2350000</v>
      </c>
      <c r="Y1284" s="1">
        <v>2350000</v>
      </c>
      <c r="Z1284" s="5">
        <v>42872</v>
      </c>
      <c r="AA1284" s="1">
        <v>2275000</v>
      </c>
      <c r="AB1284" s="1" t="s">
        <v>986</v>
      </c>
      <c r="AC1284" s="5">
        <v>42922</v>
      </c>
      <c r="AF1284" s="1">
        <v>10013</v>
      </c>
      <c r="AI1284" s="1" t="s">
        <v>166</v>
      </c>
      <c r="AJ1284" s="1">
        <v>1893</v>
      </c>
      <c r="AK1284" s="1" t="s">
        <v>137</v>
      </c>
      <c r="AL1284" s="1">
        <v>18</v>
      </c>
    </row>
    <row r="1285" spans="1:38" x14ac:dyDescent="0.2">
      <c r="A1285" s="2" t="str">
        <f>HYPERLINK("https://www.compass.com/listing/93-reade-street-unit-ph-manhattan-ny-10013/29358255763388193/","93 Reade St, Unit PH")</f>
        <v>93 Reade St, Unit PH</v>
      </c>
      <c r="B1285" s="2" t="str">
        <f>HYPERLINK("https://www.compass.com/building/obsidian-house-manhattan-ny/281921586796203349/","Obsidian House")</f>
        <v>Obsidian House</v>
      </c>
      <c r="C1285" s="1" t="s">
        <v>40</v>
      </c>
      <c r="D1285" s="1" t="s">
        <v>41</v>
      </c>
      <c r="E1285" s="3">
        <v>7924382</v>
      </c>
      <c r="F1285" s="1">
        <v>2507.7158227848099</v>
      </c>
      <c r="G1285" s="1">
        <v>8</v>
      </c>
      <c r="H1285" s="1">
        <v>5</v>
      </c>
      <c r="I1285" s="1">
        <v>6</v>
      </c>
      <c r="J1285" s="1">
        <v>5.5</v>
      </c>
      <c r="K1285" s="1">
        <v>5</v>
      </c>
      <c r="L1285" s="1">
        <v>1</v>
      </c>
      <c r="M1285" s="4">
        <v>3160</v>
      </c>
      <c r="N1285" s="1">
        <v>3698</v>
      </c>
      <c r="O1285" s="1">
        <v>7079</v>
      </c>
      <c r="P1285" s="1">
        <v>3381</v>
      </c>
      <c r="Q1285" s="1" t="s">
        <v>42</v>
      </c>
      <c r="S1285" s="1" t="s">
        <v>42</v>
      </c>
      <c r="T1285" s="1" t="s">
        <v>203</v>
      </c>
      <c r="U1285" s="1">
        <v>345</v>
      </c>
      <c r="V1285" s="5">
        <v>43780</v>
      </c>
      <c r="W1285" s="5">
        <v>42102</v>
      </c>
      <c r="X1285" s="1">
        <v>7450000</v>
      </c>
      <c r="Y1285" s="1">
        <v>7850000</v>
      </c>
      <c r="Z1285" s="5">
        <v>42447</v>
      </c>
      <c r="AA1285" s="1">
        <v>7924382</v>
      </c>
      <c r="AB1285" s="1" t="s">
        <v>987</v>
      </c>
      <c r="AC1285" s="5">
        <v>43283</v>
      </c>
      <c r="AF1285" s="1">
        <v>10013</v>
      </c>
      <c r="AI1285" s="1" t="s">
        <v>988</v>
      </c>
      <c r="AJ1285" s="1">
        <v>1857</v>
      </c>
      <c r="AK1285" s="1" t="s">
        <v>61</v>
      </c>
      <c r="AL1285" s="1">
        <v>4</v>
      </c>
    </row>
    <row r="1286" spans="1:38" x14ac:dyDescent="0.2">
      <c r="A1286" s="2" t="str">
        <f>HYPERLINK("https://www.compass.com/listing/70-vestry-street-unit-3e-manhattan-ny-10013/29514345285286241/","70 Vestry St, Unit 3E")</f>
        <v>70 Vestry St, Unit 3E</v>
      </c>
      <c r="B1286" s="2" t="str">
        <f>HYPERLINK("https://www.compass.com/building/70-vestry-st-manhattan-ny-10013/281921126949489413/","70 Vestry St")</f>
        <v>70 Vestry St</v>
      </c>
      <c r="C1286" s="1" t="s">
        <v>40</v>
      </c>
      <c r="D1286" s="1" t="s">
        <v>41</v>
      </c>
      <c r="E1286" s="3">
        <v>9506100</v>
      </c>
      <c r="F1286" s="1">
        <v>3172.9305740987902</v>
      </c>
      <c r="G1286" s="1">
        <v>5</v>
      </c>
      <c r="H1286" s="1">
        <v>3</v>
      </c>
      <c r="I1286" s="1">
        <v>4</v>
      </c>
      <c r="J1286" s="1">
        <v>3.5</v>
      </c>
      <c r="K1286" s="1">
        <v>3</v>
      </c>
      <c r="L1286" s="1">
        <v>1</v>
      </c>
      <c r="M1286" s="4">
        <v>2996</v>
      </c>
      <c r="N1286" s="1">
        <v>5046</v>
      </c>
      <c r="O1286" s="1">
        <v>10427</v>
      </c>
      <c r="P1286" s="1">
        <v>5381</v>
      </c>
      <c r="Q1286" s="1" t="s">
        <v>42</v>
      </c>
      <c r="S1286" s="1" t="s">
        <v>42</v>
      </c>
      <c r="T1286" s="1" t="s">
        <v>203</v>
      </c>
      <c r="U1286" s="1">
        <v>1132</v>
      </c>
      <c r="V1286" s="5">
        <v>44072</v>
      </c>
      <c r="W1286" s="5">
        <v>42741</v>
      </c>
      <c r="X1286" s="1">
        <v>9850000</v>
      </c>
      <c r="Y1286" s="1">
        <v>10495000</v>
      </c>
      <c r="Z1286" s="5">
        <v>43882</v>
      </c>
      <c r="AA1286" s="1">
        <v>9506100</v>
      </c>
      <c r="AB1286" s="1" t="s">
        <v>989</v>
      </c>
      <c r="AC1286" s="5">
        <v>43978</v>
      </c>
      <c r="AF1286" s="1">
        <v>10013</v>
      </c>
      <c r="AI1286" s="1" t="s">
        <v>403</v>
      </c>
      <c r="AJ1286" s="1">
        <v>2018</v>
      </c>
      <c r="AK1286" s="1" t="s">
        <v>81</v>
      </c>
      <c r="AL1286" s="1">
        <v>46</v>
      </c>
    </row>
    <row r="1287" spans="1:38" x14ac:dyDescent="0.2">
      <c r="A1287" s="2" t="str">
        <f>HYPERLINK("https://www.compass.com/listing/133-mulberry-street-unit-4b-manhattan-ny-10013/784990750504366209/","133 Mulberry St, Unit 4B")</f>
        <v>133 Mulberry St, Unit 4B</v>
      </c>
      <c r="B1287" s="2" t="str">
        <f t="shared" ref="B1287:B1289" si="235">HYPERLINK("https://www.compass.com/building/133-mulberry-st-manhattan-ny-10013/281916941336083477/","133 Mulberry St")</f>
        <v>133 Mulberry St</v>
      </c>
      <c r="C1287" s="1" t="s">
        <v>135</v>
      </c>
      <c r="D1287" s="1" t="s">
        <v>41</v>
      </c>
      <c r="E1287" s="3">
        <v>2087413</v>
      </c>
      <c r="F1287" s="1">
        <v>1545.0869726128701</v>
      </c>
      <c r="G1287" s="1">
        <v>6</v>
      </c>
      <c r="H1287" s="1">
        <v>2</v>
      </c>
      <c r="I1287" s="1">
        <v>2</v>
      </c>
      <c r="J1287" s="1">
        <v>2</v>
      </c>
      <c r="M1287" s="4">
        <v>1351</v>
      </c>
      <c r="N1287" s="1">
        <v>607</v>
      </c>
      <c r="O1287" s="1">
        <v>2024</v>
      </c>
      <c r="P1287" s="1">
        <v>1417</v>
      </c>
      <c r="Q1287" s="1" t="s">
        <v>42</v>
      </c>
      <c r="S1287" s="1" t="s">
        <v>42</v>
      </c>
      <c r="T1287" s="1" t="s">
        <v>203</v>
      </c>
      <c r="U1287" s="1">
        <v>48</v>
      </c>
      <c r="V1287" s="5">
        <v>42656</v>
      </c>
      <c r="W1287" s="5">
        <v>41911</v>
      </c>
      <c r="X1287" s="1">
        <v>2650000</v>
      </c>
      <c r="Y1287" s="1">
        <v>2650000</v>
      </c>
      <c r="Z1287" s="5">
        <v>41969</v>
      </c>
      <c r="AA1287" s="1">
        <v>2087412.5</v>
      </c>
      <c r="AB1287" s="1" t="s">
        <v>983</v>
      </c>
      <c r="AC1287" s="5">
        <v>42516</v>
      </c>
      <c r="AF1287" s="1">
        <v>10013</v>
      </c>
      <c r="AI1287" s="1" t="s">
        <v>166</v>
      </c>
      <c r="AJ1287" s="1">
        <v>1893</v>
      </c>
      <c r="AK1287" s="1" t="s">
        <v>59</v>
      </c>
      <c r="AL1287" s="1">
        <v>18</v>
      </c>
    </row>
    <row r="1288" spans="1:38" x14ac:dyDescent="0.2">
      <c r="A1288" s="2" t="str">
        <f>HYPERLINK("https://www.compass.com/listing/133-mulberry-street-unit-pha-manhattan-ny-10013/4852288304390878145/","133 Mulberry St, Unit PHA")</f>
        <v>133 Mulberry St, Unit PHA</v>
      </c>
      <c r="B1288" s="2" t="str">
        <f t="shared" si="235"/>
        <v>133 Mulberry St</v>
      </c>
      <c r="C1288" s="1" t="s">
        <v>135</v>
      </c>
      <c r="D1288" s="1" t="s">
        <v>41</v>
      </c>
      <c r="E1288" s="3">
        <v>2550000</v>
      </c>
      <c r="F1288" s="1">
        <v>1651.5544041450701</v>
      </c>
      <c r="G1288" s="1">
        <v>4</v>
      </c>
      <c r="H1288" s="1">
        <v>2</v>
      </c>
      <c r="I1288" s="1">
        <v>2</v>
      </c>
      <c r="J1288" s="1">
        <v>2</v>
      </c>
      <c r="K1288" s="1">
        <v>2</v>
      </c>
      <c r="M1288" s="4">
        <v>1544</v>
      </c>
      <c r="Q1288" s="1" t="s">
        <v>42</v>
      </c>
      <c r="S1288" s="1" t="s">
        <v>42</v>
      </c>
      <c r="T1288" s="1" t="s">
        <v>203</v>
      </c>
      <c r="U1288" s="1">
        <v>77</v>
      </c>
      <c r="V1288" s="5">
        <v>43630</v>
      </c>
      <c r="W1288" s="5">
        <v>42661</v>
      </c>
      <c r="X1288" s="1">
        <v>2550000</v>
      </c>
      <c r="Y1288" s="1">
        <v>2550000</v>
      </c>
      <c r="Z1288" s="5">
        <v>42738</v>
      </c>
      <c r="AA1288" s="1">
        <v>2550000</v>
      </c>
      <c r="AB1288" s="1" t="s">
        <v>204</v>
      </c>
      <c r="AC1288" s="5">
        <v>42823</v>
      </c>
      <c r="AF1288" s="1">
        <v>10013</v>
      </c>
      <c r="AI1288" s="1" t="s">
        <v>166</v>
      </c>
      <c r="AJ1288" s="1">
        <v>1893</v>
      </c>
      <c r="AK1288" s="1" t="s">
        <v>137</v>
      </c>
      <c r="AL1288" s="1">
        <v>18</v>
      </c>
    </row>
    <row r="1289" spans="1:38" x14ac:dyDescent="0.2">
      <c r="A1289" s="2" t="str">
        <f>HYPERLINK("https://www.compass.com/listing/133-mulberry-street-unit-4c-manhattan-ny-10013/70912951430695057/","133 Mulberry St, Unit 4C")</f>
        <v>133 Mulberry St, Unit 4C</v>
      </c>
      <c r="B1289" s="2" t="str">
        <f t="shared" si="235"/>
        <v>133 Mulberry St</v>
      </c>
      <c r="C1289" s="1" t="s">
        <v>135</v>
      </c>
      <c r="D1289" s="1" t="s">
        <v>41</v>
      </c>
      <c r="E1289" s="3">
        <v>2100000</v>
      </c>
      <c r="F1289" s="1">
        <v>1517.3410404624201</v>
      </c>
      <c r="G1289" s="1">
        <v>4</v>
      </c>
      <c r="H1289" s="1">
        <v>2</v>
      </c>
      <c r="I1289" s="1">
        <v>2</v>
      </c>
      <c r="J1289" s="1">
        <v>2</v>
      </c>
      <c r="K1289" s="1">
        <v>2</v>
      </c>
      <c r="M1289" s="4">
        <v>1384</v>
      </c>
      <c r="Q1289" s="1" t="s">
        <v>42</v>
      </c>
      <c r="S1289" s="1" t="s">
        <v>42</v>
      </c>
      <c r="T1289" s="1" t="s">
        <v>203</v>
      </c>
      <c r="U1289" s="1">
        <v>33</v>
      </c>
      <c r="V1289" s="5">
        <v>43630</v>
      </c>
      <c r="W1289" s="5">
        <v>42712</v>
      </c>
      <c r="X1289" s="1">
        <v>2150000</v>
      </c>
      <c r="Y1289" s="1">
        <v>2150000</v>
      </c>
      <c r="Z1289" s="5">
        <v>42745</v>
      </c>
      <c r="AA1289" s="1">
        <v>2100000</v>
      </c>
      <c r="AB1289" s="1" t="s">
        <v>990</v>
      </c>
      <c r="AC1289" s="5">
        <v>42809</v>
      </c>
      <c r="AF1289" s="1">
        <v>10013</v>
      </c>
      <c r="AI1289" s="1" t="s">
        <v>166</v>
      </c>
      <c r="AJ1289" s="1">
        <v>1893</v>
      </c>
      <c r="AK1289" s="1" t="s">
        <v>137</v>
      </c>
      <c r="AL1289" s="1">
        <v>18</v>
      </c>
    </row>
    <row r="1290" spans="1:38" x14ac:dyDescent="0.2">
      <c r="A1290" s="2" t="str">
        <f>HYPERLINK("https://www.compass.com/listing/212-west-95th-street-unit-3a-manhattan-ny-10025/654094386297699641/","212 W 95th St, Unit 3A")</f>
        <v>212 W 95th St, Unit 3A</v>
      </c>
      <c r="B1290" s="2" t="str">
        <f>HYPERLINK("https://www.compass.com/building/dahlia-manhattan-ny/282058919214351605/","Dahlia")</f>
        <v>Dahlia</v>
      </c>
      <c r="C1290" s="1" t="s">
        <v>47</v>
      </c>
      <c r="D1290" s="1" t="s">
        <v>41</v>
      </c>
      <c r="E1290" s="3">
        <v>3746153</v>
      </c>
      <c r="F1290" s="1">
        <v>1706.6753986332501</v>
      </c>
      <c r="H1290" s="1">
        <v>2</v>
      </c>
      <c r="J1290" s="1">
        <v>2</v>
      </c>
      <c r="K1290" s="1">
        <v>2</v>
      </c>
      <c r="M1290" s="4">
        <v>2195</v>
      </c>
      <c r="N1290" s="1">
        <v>862.44</v>
      </c>
      <c r="O1290" s="1">
        <v>1906.92</v>
      </c>
      <c r="P1290" s="1">
        <v>1044.5</v>
      </c>
      <c r="Q1290" s="1" t="s">
        <v>42</v>
      </c>
      <c r="S1290" s="1" t="s">
        <v>42</v>
      </c>
      <c r="T1290" s="1" t="s">
        <v>203</v>
      </c>
      <c r="AA1290" s="1">
        <v>3746152.5</v>
      </c>
      <c r="AB1290" s="1" t="s">
        <v>991</v>
      </c>
      <c r="AC1290" s="5">
        <v>44132</v>
      </c>
      <c r="AF1290" s="1">
        <v>10025</v>
      </c>
      <c r="AI1290" s="1" t="s">
        <v>52</v>
      </c>
      <c r="AJ1290" s="1">
        <v>2019</v>
      </c>
      <c r="AK1290" s="1" t="s">
        <v>55</v>
      </c>
      <c r="AL1290" s="1">
        <v>38</v>
      </c>
    </row>
    <row r="1291" spans="1:38" x14ac:dyDescent="0.2">
      <c r="A1291" s="2" t="str">
        <f>HYPERLINK("https://www.compass.com/listing/91-leonard-street-unit-12g-manhattan-ny-10013/207812544067368513/","91 Leonard St, Unit 12G")</f>
        <v>91 Leonard St, Unit 12G</v>
      </c>
      <c r="B1291" s="2" t="str">
        <f t="shared" ref="B1291:B1308" si="236">HYPERLINK("https://www.compass.com/building/91-leonard-manhattan-ny/282058661633754165/","91 Leonard")</f>
        <v>91 Leonard</v>
      </c>
      <c r="C1291" s="1" t="s">
        <v>40</v>
      </c>
      <c r="D1291" s="1" t="s">
        <v>41</v>
      </c>
      <c r="E1291" s="3">
        <v>2483512</v>
      </c>
      <c r="F1291" s="1">
        <v>1709.2303854094901</v>
      </c>
      <c r="G1291" s="1">
        <v>3</v>
      </c>
      <c r="H1291" s="1">
        <v>2</v>
      </c>
      <c r="I1291" s="1">
        <v>2</v>
      </c>
      <c r="J1291" s="1">
        <v>2</v>
      </c>
      <c r="K1291" s="1">
        <v>2</v>
      </c>
      <c r="M1291" s="4">
        <v>1453</v>
      </c>
      <c r="N1291" s="1">
        <v>1772</v>
      </c>
      <c r="O1291" s="1">
        <v>4478</v>
      </c>
      <c r="P1291" s="1">
        <v>2706</v>
      </c>
      <c r="Q1291" s="1" t="s">
        <v>42</v>
      </c>
      <c r="S1291" s="1" t="s">
        <v>42</v>
      </c>
      <c r="T1291" s="1" t="s">
        <v>203</v>
      </c>
      <c r="V1291" s="5">
        <v>44334</v>
      </c>
      <c r="W1291" s="5">
        <v>43539</v>
      </c>
      <c r="X1291" s="1">
        <v>2439000</v>
      </c>
      <c r="Y1291" s="1">
        <v>2439000</v>
      </c>
      <c r="Z1291" s="5">
        <v>43539</v>
      </c>
      <c r="AA1291" s="1">
        <v>2483511.75</v>
      </c>
      <c r="AB1291" s="1" t="s">
        <v>992</v>
      </c>
      <c r="AC1291" s="5">
        <v>43768</v>
      </c>
      <c r="AF1291" s="1">
        <v>10013</v>
      </c>
      <c r="AI1291" s="1" t="s">
        <v>103</v>
      </c>
      <c r="AJ1291" s="1">
        <v>2016</v>
      </c>
      <c r="AK1291" s="1" t="s">
        <v>81</v>
      </c>
      <c r="AL1291" s="1">
        <v>111</v>
      </c>
    </row>
    <row r="1292" spans="1:38" x14ac:dyDescent="0.2">
      <c r="A1292" s="2" t="str">
        <f>HYPERLINK("https://www.compass.com/listing/91-leonard-street-unit-3c-manhattan-ny-10013/212132150223340081/","91 Leonard St, Unit 3C")</f>
        <v>91 Leonard St, Unit 3C</v>
      </c>
      <c r="B1292" s="2" t="str">
        <f t="shared" si="236"/>
        <v>91 Leonard</v>
      </c>
      <c r="C1292" s="1" t="s">
        <v>40</v>
      </c>
      <c r="D1292" s="1" t="s">
        <v>41</v>
      </c>
      <c r="E1292" s="3">
        <v>2574340</v>
      </c>
      <c r="F1292" s="1">
        <v>1649.16057014734</v>
      </c>
      <c r="G1292" s="1">
        <v>4</v>
      </c>
      <c r="H1292" s="1">
        <v>2</v>
      </c>
      <c r="I1292" s="1">
        <v>3</v>
      </c>
      <c r="J1292" s="1">
        <v>2.5</v>
      </c>
      <c r="K1292" s="1">
        <v>2</v>
      </c>
      <c r="L1292" s="1">
        <v>1</v>
      </c>
      <c r="M1292" s="4">
        <v>1561</v>
      </c>
      <c r="N1292" s="1">
        <v>1886</v>
      </c>
      <c r="O1292" s="1">
        <v>4767</v>
      </c>
      <c r="P1292" s="1">
        <v>2881</v>
      </c>
      <c r="Q1292" s="1" t="s">
        <v>42</v>
      </c>
      <c r="S1292" s="1" t="s">
        <v>42</v>
      </c>
      <c r="T1292" s="1" t="s">
        <v>203</v>
      </c>
      <c r="U1292" s="1">
        <v>111</v>
      </c>
      <c r="V1292" s="5">
        <v>44334</v>
      </c>
      <c r="W1292" s="5">
        <v>43545</v>
      </c>
      <c r="X1292" s="1">
        <v>2500000</v>
      </c>
      <c r="Y1292" s="1">
        <v>2500000</v>
      </c>
      <c r="Z1292" s="5">
        <v>43656</v>
      </c>
      <c r="AA1292" s="1">
        <v>2574339.65</v>
      </c>
      <c r="AB1292" s="1" t="s">
        <v>993</v>
      </c>
      <c r="AC1292" s="5">
        <v>43739</v>
      </c>
      <c r="AF1292" s="1">
        <v>10013</v>
      </c>
      <c r="AI1292" s="1" t="s">
        <v>103</v>
      </c>
      <c r="AJ1292" s="1">
        <v>2016</v>
      </c>
      <c r="AK1292" s="1" t="s">
        <v>81</v>
      </c>
      <c r="AL1292" s="1">
        <v>111</v>
      </c>
    </row>
    <row r="1293" spans="1:38" x14ac:dyDescent="0.2">
      <c r="A1293" s="2" t="str">
        <f>HYPERLINK("https://www.compass.com/listing/91-leonard-street-unit-2d-manhattan-ny-10013/175914822108542337/","91 Leonard St, Unit 2D")</f>
        <v>91 Leonard St, Unit 2D</v>
      </c>
      <c r="B1293" s="2" t="str">
        <f t="shared" si="236"/>
        <v>91 Leonard</v>
      </c>
      <c r="C1293" s="1" t="s">
        <v>40</v>
      </c>
      <c r="D1293" s="1" t="s">
        <v>41</v>
      </c>
      <c r="E1293" s="3">
        <v>2497971</v>
      </c>
      <c r="F1293" s="1">
        <v>1670.8835451504999</v>
      </c>
      <c r="G1293" s="1">
        <v>4.5</v>
      </c>
      <c r="H1293" s="1">
        <v>2</v>
      </c>
      <c r="I1293" s="1">
        <v>3</v>
      </c>
      <c r="J1293" s="1">
        <v>2.5</v>
      </c>
      <c r="K1293" s="1">
        <v>2</v>
      </c>
      <c r="L1293" s="1">
        <v>1</v>
      </c>
      <c r="M1293" s="4">
        <v>1495</v>
      </c>
      <c r="N1293" s="1">
        <v>1957</v>
      </c>
      <c r="O1293" s="1">
        <v>4946</v>
      </c>
      <c r="P1293" s="1">
        <v>2989</v>
      </c>
      <c r="Q1293" s="1" t="s">
        <v>42</v>
      </c>
      <c r="S1293" s="1" t="s">
        <v>42</v>
      </c>
      <c r="T1293" s="1" t="s">
        <v>203</v>
      </c>
      <c r="U1293" s="1">
        <v>163</v>
      </c>
      <c r="V1293" s="5">
        <v>44334</v>
      </c>
      <c r="W1293" s="5">
        <v>43495</v>
      </c>
      <c r="X1293" s="1">
        <v>2680000</v>
      </c>
      <c r="Y1293" s="1">
        <v>2680000</v>
      </c>
      <c r="Z1293" s="5">
        <v>43658</v>
      </c>
      <c r="AA1293" s="1">
        <v>2497970.9</v>
      </c>
      <c r="AB1293" s="1" t="s">
        <v>994</v>
      </c>
      <c r="AC1293" s="5">
        <v>43760</v>
      </c>
      <c r="AF1293" s="1">
        <v>10013</v>
      </c>
      <c r="AI1293" s="1" t="s">
        <v>123</v>
      </c>
      <c r="AJ1293" s="1">
        <v>2016</v>
      </c>
      <c r="AK1293" s="1" t="s">
        <v>81</v>
      </c>
      <c r="AL1293" s="1">
        <v>111</v>
      </c>
    </row>
    <row r="1294" spans="1:38" x14ac:dyDescent="0.2">
      <c r="A1294" s="2" t="str">
        <f>HYPERLINK("https://www.compass.com/listing/91-leonard-street-unit-9g-manhattan-ny-10013/212132150600924849/","91 Leonard St, Unit 9G")</f>
        <v>91 Leonard St, Unit 9G</v>
      </c>
      <c r="B1294" s="2" t="str">
        <f t="shared" si="236"/>
        <v>91 Leonard</v>
      </c>
      <c r="C1294" s="1" t="s">
        <v>40</v>
      </c>
      <c r="D1294" s="1" t="s">
        <v>41</v>
      </c>
      <c r="E1294" s="3">
        <v>2431785</v>
      </c>
      <c r="F1294" s="1">
        <v>1687.5674184594</v>
      </c>
      <c r="G1294" s="1">
        <v>3</v>
      </c>
      <c r="H1294" s="1">
        <v>2</v>
      </c>
      <c r="I1294" s="1">
        <v>2</v>
      </c>
      <c r="J1294" s="1">
        <v>2</v>
      </c>
      <c r="K1294" s="1">
        <v>2</v>
      </c>
      <c r="M1294" s="4">
        <v>1441</v>
      </c>
      <c r="N1294" s="1">
        <v>1752</v>
      </c>
      <c r="O1294" s="1">
        <v>4428</v>
      </c>
      <c r="P1294" s="1">
        <v>2676</v>
      </c>
      <c r="Q1294" s="1" t="s">
        <v>42</v>
      </c>
      <c r="S1294" s="1" t="s">
        <v>42</v>
      </c>
      <c r="T1294" s="1" t="s">
        <v>203</v>
      </c>
      <c r="U1294" s="1">
        <v>126</v>
      </c>
      <c r="V1294" s="5">
        <v>44334</v>
      </c>
      <c r="W1294" s="5">
        <v>43545</v>
      </c>
      <c r="X1294" s="1">
        <v>2385000</v>
      </c>
      <c r="Y1294" s="1">
        <v>2385000</v>
      </c>
      <c r="Z1294" s="5">
        <v>43671</v>
      </c>
      <c r="AA1294" s="1">
        <v>2431784.65</v>
      </c>
      <c r="AB1294" s="1" t="s">
        <v>995</v>
      </c>
      <c r="AC1294" s="5">
        <v>43762</v>
      </c>
      <c r="AF1294" s="1">
        <v>10013</v>
      </c>
      <c r="AI1294" s="1" t="s">
        <v>103</v>
      </c>
      <c r="AJ1294" s="1">
        <v>2016</v>
      </c>
      <c r="AK1294" s="1" t="s">
        <v>81</v>
      </c>
      <c r="AL1294" s="1">
        <v>111</v>
      </c>
    </row>
    <row r="1295" spans="1:38" x14ac:dyDescent="0.2">
      <c r="A1295" s="2" t="str">
        <f>HYPERLINK("https://www.compass.com/listing/91-leonard-street-unit-10g-manhattan-ny-10013/212132150751806673/","91 Leonard St, Unit 10G")</f>
        <v>91 Leonard St, Unit 10G</v>
      </c>
      <c r="B1295" s="2" t="str">
        <f t="shared" si="236"/>
        <v>91 Leonard</v>
      </c>
      <c r="C1295" s="1" t="s">
        <v>40</v>
      </c>
      <c r="D1295" s="1" t="s">
        <v>41</v>
      </c>
      <c r="E1295" s="3">
        <v>2328200</v>
      </c>
      <c r="F1295" s="1">
        <v>1615.6835530881301</v>
      </c>
      <c r="G1295" s="1">
        <v>3</v>
      </c>
      <c r="H1295" s="1">
        <v>2</v>
      </c>
      <c r="I1295" s="1">
        <v>2</v>
      </c>
      <c r="J1295" s="1">
        <v>2</v>
      </c>
      <c r="K1295" s="1">
        <v>2</v>
      </c>
      <c r="M1295" s="4">
        <v>1441</v>
      </c>
      <c r="N1295" s="1">
        <v>1752</v>
      </c>
      <c r="O1295" s="1">
        <v>4428</v>
      </c>
      <c r="P1295" s="1">
        <v>2676</v>
      </c>
      <c r="Q1295" s="1" t="s">
        <v>42</v>
      </c>
      <c r="S1295" s="1" t="s">
        <v>42</v>
      </c>
      <c r="T1295" s="1" t="s">
        <v>203</v>
      </c>
      <c r="U1295" s="1">
        <v>42</v>
      </c>
      <c r="V1295" s="5">
        <v>44314</v>
      </c>
      <c r="W1295" s="5">
        <v>43545</v>
      </c>
      <c r="X1295" s="1">
        <v>2403000</v>
      </c>
      <c r="Y1295" s="1">
        <v>2403000</v>
      </c>
      <c r="Z1295" s="5">
        <v>43587</v>
      </c>
      <c r="AA1295" s="1">
        <v>2328200</v>
      </c>
      <c r="AB1295" s="1" t="s">
        <v>996</v>
      </c>
      <c r="AC1295" s="5">
        <v>43769</v>
      </c>
      <c r="AF1295" s="1">
        <v>10013</v>
      </c>
      <c r="AI1295" s="1" t="s">
        <v>103</v>
      </c>
      <c r="AJ1295" s="1">
        <v>2016</v>
      </c>
      <c r="AK1295" s="1" t="s">
        <v>81</v>
      </c>
      <c r="AL1295" s="1">
        <v>111</v>
      </c>
    </row>
    <row r="1296" spans="1:38" x14ac:dyDescent="0.2">
      <c r="A1296" s="2" t="str">
        <f>HYPERLINK("https://www.compass.com/listing/91-leonard-street-unit-9a-manhattan-ny-10013/248563960356303729/","91 Leonard St, Unit 9A")</f>
        <v>91 Leonard St, Unit 9A</v>
      </c>
      <c r="B1296" s="2" t="str">
        <f t="shared" si="236"/>
        <v>91 Leonard</v>
      </c>
      <c r="C1296" s="1" t="s">
        <v>40</v>
      </c>
      <c r="D1296" s="1" t="s">
        <v>41</v>
      </c>
      <c r="E1296" s="3">
        <v>2588798</v>
      </c>
      <c r="F1296" s="1">
        <v>1757.5003394433099</v>
      </c>
      <c r="G1296" s="1">
        <v>3.5</v>
      </c>
      <c r="H1296" s="1">
        <v>2</v>
      </c>
      <c r="I1296" s="1">
        <v>3</v>
      </c>
      <c r="J1296" s="1">
        <v>2.5</v>
      </c>
      <c r="K1296" s="1">
        <v>2</v>
      </c>
      <c r="L1296" s="1">
        <v>1</v>
      </c>
      <c r="M1296" s="4">
        <v>1473</v>
      </c>
      <c r="N1296" s="1">
        <v>1496</v>
      </c>
      <c r="O1296" s="1">
        <v>3781</v>
      </c>
      <c r="P1296" s="1">
        <v>2285</v>
      </c>
      <c r="Q1296" s="1" t="s">
        <v>42</v>
      </c>
      <c r="S1296" s="1" t="s">
        <v>42</v>
      </c>
      <c r="T1296" s="1" t="s">
        <v>203</v>
      </c>
      <c r="U1296" s="1">
        <v>41</v>
      </c>
      <c r="V1296" s="5">
        <v>44334</v>
      </c>
      <c r="W1296" s="5">
        <v>43595</v>
      </c>
      <c r="X1296" s="1">
        <v>2760000</v>
      </c>
      <c r="Y1296" s="1">
        <v>2760000</v>
      </c>
      <c r="Z1296" s="5">
        <v>43636</v>
      </c>
      <c r="AA1296" s="1">
        <v>2588798.7999999998</v>
      </c>
      <c r="AB1296" s="1" t="s">
        <v>997</v>
      </c>
      <c r="AC1296" s="5">
        <v>43803</v>
      </c>
      <c r="AF1296" s="1">
        <v>10013</v>
      </c>
      <c r="AI1296" s="1" t="s">
        <v>998</v>
      </c>
      <c r="AJ1296" s="1">
        <v>2016</v>
      </c>
      <c r="AK1296" s="1" t="s">
        <v>81</v>
      </c>
      <c r="AL1296" s="1">
        <v>111</v>
      </c>
    </row>
    <row r="1297" spans="1:38" x14ac:dyDescent="0.2">
      <c r="A1297" s="2" t="str">
        <f>HYPERLINK("https://www.compass.com/listing/91-leonard-street-unit-4c-manhattan-ny-10013/34689472218028881/","91 Leonard St, Unit 4C")</f>
        <v>91 Leonard St, Unit 4C</v>
      </c>
      <c r="B1297" s="2" t="str">
        <f t="shared" si="236"/>
        <v>91 Leonard</v>
      </c>
      <c r="C1297" s="1" t="s">
        <v>40</v>
      </c>
      <c r="D1297" s="1" t="s">
        <v>41</v>
      </c>
      <c r="E1297" s="3">
        <v>2500000</v>
      </c>
      <c r="F1297" s="1">
        <v>1652.3463317911401</v>
      </c>
      <c r="G1297" s="1">
        <v>4</v>
      </c>
      <c r="H1297" s="1">
        <v>2</v>
      </c>
      <c r="I1297" s="1">
        <v>3</v>
      </c>
      <c r="J1297" s="1">
        <v>2.5</v>
      </c>
      <c r="K1297" s="1">
        <v>2</v>
      </c>
      <c r="L1297" s="1">
        <v>1</v>
      </c>
      <c r="M1297" s="4">
        <v>1513</v>
      </c>
      <c r="N1297" s="1">
        <v>1827</v>
      </c>
      <c r="O1297" s="1">
        <v>4617</v>
      </c>
      <c r="P1297" s="1">
        <v>2790</v>
      </c>
      <c r="Q1297" s="1" t="s">
        <v>42</v>
      </c>
      <c r="S1297" s="1" t="s">
        <v>42</v>
      </c>
      <c r="T1297" s="1" t="s">
        <v>203</v>
      </c>
      <c r="U1297" s="1">
        <v>598</v>
      </c>
      <c r="V1297" s="5">
        <v>44314</v>
      </c>
      <c r="W1297" s="5">
        <v>43081</v>
      </c>
      <c r="X1297" s="1">
        <v>2520000</v>
      </c>
      <c r="Y1297" s="1">
        <v>2520000</v>
      </c>
      <c r="Z1297" s="5">
        <v>43679</v>
      </c>
      <c r="AA1297" s="1">
        <v>2500000</v>
      </c>
      <c r="AB1297" s="1" t="s">
        <v>999</v>
      </c>
      <c r="AC1297" s="5">
        <v>43773</v>
      </c>
      <c r="AF1297" s="1">
        <v>10013</v>
      </c>
      <c r="AI1297" s="1" t="s">
        <v>103</v>
      </c>
      <c r="AJ1297" s="1">
        <v>2016</v>
      </c>
      <c r="AK1297" s="1" t="s">
        <v>81</v>
      </c>
      <c r="AL1297" s="1">
        <v>111</v>
      </c>
    </row>
    <row r="1298" spans="1:38" x14ac:dyDescent="0.2">
      <c r="A1298" s="2" t="str">
        <f>HYPERLINK("https://www.compass.com/listing/91-leonard-street-unit-5c-manhattan-ny-10013/34689479147091649/","91 Leonard St, Unit 5C")</f>
        <v>91 Leonard St, Unit 5C</v>
      </c>
      <c r="B1298" s="2" t="str">
        <f t="shared" si="236"/>
        <v>91 Leonard</v>
      </c>
      <c r="C1298" s="1" t="s">
        <v>40</v>
      </c>
      <c r="D1298" s="1" t="s">
        <v>41</v>
      </c>
      <c r="E1298" s="3">
        <v>2660891</v>
      </c>
      <c r="F1298" s="1">
        <v>1758.68532716457</v>
      </c>
      <c r="G1298" s="1">
        <v>5</v>
      </c>
      <c r="H1298" s="1">
        <v>2</v>
      </c>
      <c r="I1298" s="1">
        <v>3</v>
      </c>
      <c r="J1298" s="1">
        <v>2.5</v>
      </c>
      <c r="K1298" s="1">
        <v>2</v>
      </c>
      <c r="L1298" s="1">
        <v>1</v>
      </c>
      <c r="M1298" s="4">
        <v>1513</v>
      </c>
      <c r="N1298" s="1">
        <v>1832</v>
      </c>
      <c r="O1298" s="1">
        <v>4630</v>
      </c>
      <c r="P1298" s="1">
        <v>2798</v>
      </c>
      <c r="Q1298" s="1" t="s">
        <v>42</v>
      </c>
      <c r="S1298" s="1" t="s">
        <v>42</v>
      </c>
      <c r="T1298" s="1" t="s">
        <v>203</v>
      </c>
      <c r="U1298" s="1">
        <v>223</v>
      </c>
      <c r="V1298" s="5">
        <v>44314</v>
      </c>
      <c r="W1298" s="5">
        <v>43076</v>
      </c>
      <c r="X1298" s="1">
        <v>2610000</v>
      </c>
      <c r="Y1298" s="1">
        <v>2610000</v>
      </c>
      <c r="Z1298" s="5">
        <v>43300</v>
      </c>
      <c r="AA1298" s="1">
        <v>2660890.9</v>
      </c>
      <c r="AB1298" s="1" t="s">
        <v>1000</v>
      </c>
      <c r="AC1298" s="5">
        <v>43720</v>
      </c>
      <c r="AF1298" s="1">
        <v>10013</v>
      </c>
      <c r="AI1298" s="1" t="s">
        <v>103</v>
      </c>
      <c r="AJ1298" s="1">
        <v>2016</v>
      </c>
      <c r="AK1298" s="1" t="s">
        <v>81</v>
      </c>
      <c r="AL1298" s="1">
        <v>111</v>
      </c>
    </row>
    <row r="1299" spans="1:38" x14ac:dyDescent="0.2">
      <c r="A1299" s="2" t="str">
        <f>HYPERLINK("https://www.compass.com/listing/91-leonard-street-unit-8b-manhattan-ny-10013/34689498742807761/","91 Leonard St, Unit 8B")</f>
        <v>91 Leonard St, Unit 8B</v>
      </c>
      <c r="B1299" s="2" t="str">
        <f t="shared" si="236"/>
        <v>91 Leonard</v>
      </c>
      <c r="C1299" s="1" t="s">
        <v>40</v>
      </c>
      <c r="D1299" s="1" t="s">
        <v>41</v>
      </c>
      <c r="E1299" s="3">
        <v>2374702</v>
      </c>
      <c r="F1299" s="1">
        <v>1919.7266774454299</v>
      </c>
      <c r="G1299" s="1">
        <v>4</v>
      </c>
      <c r="H1299" s="1">
        <v>2</v>
      </c>
      <c r="I1299" s="1">
        <v>2</v>
      </c>
      <c r="J1299" s="1">
        <v>2</v>
      </c>
      <c r="K1299" s="1">
        <v>2</v>
      </c>
      <c r="M1299" s="4">
        <v>1237</v>
      </c>
      <c r="N1299" s="1">
        <v>1497</v>
      </c>
      <c r="O1299" s="1">
        <v>3809</v>
      </c>
      <c r="P1299" s="1">
        <v>2312</v>
      </c>
      <c r="Q1299" s="1" t="s">
        <v>42</v>
      </c>
      <c r="S1299" s="1" t="s">
        <v>42</v>
      </c>
      <c r="T1299" s="1" t="s">
        <v>203</v>
      </c>
      <c r="U1299" s="1">
        <v>187</v>
      </c>
      <c r="V1299" s="5">
        <v>44314</v>
      </c>
      <c r="W1299" s="5">
        <v>43112</v>
      </c>
      <c r="X1299" s="1">
        <v>2350000</v>
      </c>
      <c r="Y1299" s="1">
        <v>2350000</v>
      </c>
      <c r="Z1299" s="5">
        <v>43300</v>
      </c>
      <c r="AA1299" s="1">
        <v>2374701.9</v>
      </c>
      <c r="AB1299" s="1" t="s">
        <v>1001</v>
      </c>
      <c r="AC1299" s="5">
        <v>43732</v>
      </c>
      <c r="AF1299" s="1">
        <v>10013</v>
      </c>
      <c r="AI1299" s="1" t="s">
        <v>103</v>
      </c>
      <c r="AJ1299" s="1">
        <v>2016</v>
      </c>
      <c r="AK1299" s="1" t="s">
        <v>81</v>
      </c>
      <c r="AL1299" s="1">
        <v>111</v>
      </c>
    </row>
    <row r="1300" spans="1:38" x14ac:dyDescent="0.2">
      <c r="A1300" s="2" t="str">
        <f>HYPERLINK("https://www.compass.com/listing/91-leonard-street-unit-14f-manhattan-ny-10013/34689535476511793/","91 Leonard St, Unit 14F")</f>
        <v>91 Leonard St, Unit 14F</v>
      </c>
      <c r="B1300" s="2" t="str">
        <f t="shared" si="236"/>
        <v>91 Leonard</v>
      </c>
      <c r="C1300" s="1" t="s">
        <v>40</v>
      </c>
      <c r="D1300" s="1" t="s">
        <v>41</v>
      </c>
      <c r="E1300" s="3">
        <v>2321000</v>
      </c>
      <c r="F1300" s="1">
        <v>1597.38472126634</v>
      </c>
      <c r="G1300" s="1">
        <v>4</v>
      </c>
      <c r="H1300" s="1">
        <v>2</v>
      </c>
      <c r="I1300" s="1">
        <v>2</v>
      </c>
      <c r="J1300" s="1">
        <v>2</v>
      </c>
      <c r="K1300" s="1">
        <v>2</v>
      </c>
      <c r="M1300" s="4">
        <v>1453</v>
      </c>
      <c r="N1300" s="1">
        <v>1787</v>
      </c>
      <c r="O1300" s="1">
        <v>4516</v>
      </c>
      <c r="P1300" s="1">
        <v>2729</v>
      </c>
      <c r="Q1300" s="1" t="s">
        <v>42</v>
      </c>
      <c r="S1300" s="1" t="s">
        <v>42</v>
      </c>
      <c r="T1300" s="1" t="s">
        <v>203</v>
      </c>
      <c r="U1300" s="1">
        <v>336</v>
      </c>
      <c r="V1300" s="5">
        <v>44314</v>
      </c>
      <c r="W1300" s="5">
        <v>43194</v>
      </c>
      <c r="X1300" s="1">
        <v>2750000</v>
      </c>
      <c r="Y1300" s="1">
        <v>2475000</v>
      </c>
      <c r="Z1300" s="5">
        <v>43530</v>
      </c>
      <c r="AA1300" s="1">
        <v>2321000</v>
      </c>
      <c r="AB1300" s="1" t="s">
        <v>1002</v>
      </c>
      <c r="AC1300" s="5">
        <v>43689</v>
      </c>
      <c r="AF1300" s="1">
        <v>10013</v>
      </c>
      <c r="AI1300" s="1" t="s">
        <v>103</v>
      </c>
      <c r="AJ1300" s="1">
        <v>2016</v>
      </c>
      <c r="AK1300" s="1" t="s">
        <v>81</v>
      </c>
      <c r="AL1300" s="1">
        <v>111</v>
      </c>
    </row>
    <row r="1301" spans="1:38" x14ac:dyDescent="0.2">
      <c r="A1301" s="2" t="str">
        <f>HYPERLINK("https://www.compass.com/listing/91-leonard-street-unit-10b-manhattan-ny-10013/34689536567143633/","91 Leonard St, Unit 10B")</f>
        <v>91 Leonard St, Unit 10B</v>
      </c>
      <c r="B1301" s="2" t="str">
        <f t="shared" si="236"/>
        <v>91 Leonard</v>
      </c>
      <c r="C1301" s="1" t="s">
        <v>40</v>
      </c>
      <c r="D1301" s="1" t="s">
        <v>41</v>
      </c>
      <c r="E1301" s="3">
        <v>2410000</v>
      </c>
      <c r="F1301" s="1">
        <v>1951.4170040485801</v>
      </c>
      <c r="G1301" s="1">
        <v>3</v>
      </c>
      <c r="H1301" s="1">
        <v>2</v>
      </c>
      <c r="I1301" s="1">
        <v>2</v>
      </c>
      <c r="J1301" s="1">
        <v>2</v>
      </c>
      <c r="K1301" s="1">
        <v>2</v>
      </c>
      <c r="M1301" s="4">
        <v>1235</v>
      </c>
      <c r="N1301" s="1">
        <v>1496</v>
      </c>
      <c r="O1301" s="1">
        <v>3781</v>
      </c>
      <c r="P1301" s="1">
        <v>2285</v>
      </c>
      <c r="Q1301" s="1" t="s">
        <v>42</v>
      </c>
      <c r="S1301" s="1" t="s">
        <v>42</v>
      </c>
      <c r="T1301" s="1" t="s">
        <v>203</v>
      </c>
      <c r="V1301" s="5">
        <v>44314</v>
      </c>
      <c r="AA1301" s="1">
        <v>2410000</v>
      </c>
      <c r="AB1301" s="1" t="s">
        <v>204</v>
      </c>
      <c r="AC1301" s="5">
        <v>43154</v>
      </c>
      <c r="AF1301" s="1">
        <v>10013</v>
      </c>
      <c r="AI1301" s="1" t="s">
        <v>103</v>
      </c>
      <c r="AJ1301" s="1">
        <v>2016</v>
      </c>
      <c r="AK1301" s="1" t="s">
        <v>81</v>
      </c>
      <c r="AL1301" s="1">
        <v>111</v>
      </c>
    </row>
    <row r="1302" spans="1:38" x14ac:dyDescent="0.2">
      <c r="A1302" s="2" t="str">
        <f>HYPERLINK("https://www.compass.com/listing/91-leonard-street-unit-15f-manhattan-ny-10013/34689570079520481/","91 Leonard St, Unit 15F")</f>
        <v>91 Leonard St, Unit 15F</v>
      </c>
      <c r="B1302" s="2" t="str">
        <f t="shared" si="236"/>
        <v>91 Leonard</v>
      </c>
      <c r="C1302" s="1" t="s">
        <v>40</v>
      </c>
      <c r="D1302" s="1" t="s">
        <v>41</v>
      </c>
      <c r="E1302" s="3">
        <v>2466200</v>
      </c>
      <c r="F1302" s="1">
        <v>1697.31589814177</v>
      </c>
      <c r="G1302" s="1">
        <v>4</v>
      </c>
      <c r="H1302" s="1">
        <v>2</v>
      </c>
      <c r="I1302" s="1">
        <v>2</v>
      </c>
      <c r="J1302" s="1">
        <v>2</v>
      </c>
      <c r="K1302" s="1">
        <v>2</v>
      </c>
      <c r="M1302" s="4">
        <v>1453</v>
      </c>
      <c r="N1302" s="1">
        <v>1787</v>
      </c>
      <c r="O1302" s="1">
        <v>4516</v>
      </c>
      <c r="P1302" s="1">
        <v>2729</v>
      </c>
      <c r="Q1302" s="1" t="s">
        <v>42</v>
      </c>
      <c r="S1302" s="1" t="s">
        <v>42</v>
      </c>
      <c r="T1302" s="1" t="s">
        <v>203</v>
      </c>
      <c r="U1302" s="1">
        <v>498</v>
      </c>
      <c r="V1302" s="5">
        <v>44314</v>
      </c>
      <c r="W1302" s="5">
        <v>43031</v>
      </c>
      <c r="X1302" s="1">
        <v>2770000</v>
      </c>
      <c r="Y1302" s="1">
        <v>2493000</v>
      </c>
      <c r="Z1302" s="5">
        <v>43530</v>
      </c>
      <c r="AA1302" s="1">
        <v>2466200</v>
      </c>
      <c r="AB1302" s="1" t="s">
        <v>1003</v>
      </c>
      <c r="AC1302" s="5">
        <v>43717</v>
      </c>
      <c r="AF1302" s="1">
        <v>10013</v>
      </c>
      <c r="AI1302" s="1" t="s">
        <v>103</v>
      </c>
      <c r="AJ1302" s="1">
        <v>2016</v>
      </c>
      <c r="AK1302" s="1" t="s">
        <v>81</v>
      </c>
      <c r="AL1302" s="1">
        <v>111</v>
      </c>
    </row>
    <row r="1303" spans="1:38" x14ac:dyDescent="0.2">
      <c r="A1303" s="2" t="str">
        <f>HYPERLINK("https://www.compass.com/listing/91-leonard-street-unit-11g-manhattan-ny-10013/34689570406676225/","91 Leonard St, Unit 11G")</f>
        <v>91 Leonard St, Unit 11G</v>
      </c>
      <c r="B1303" s="2" t="str">
        <f t="shared" si="236"/>
        <v>91 Leonard</v>
      </c>
      <c r="C1303" s="1" t="s">
        <v>40</v>
      </c>
      <c r="D1303" s="1" t="s">
        <v>41</v>
      </c>
      <c r="E1303" s="3">
        <v>2421000</v>
      </c>
      <c r="F1303" s="1">
        <v>1666.2078458362</v>
      </c>
      <c r="G1303" s="1">
        <v>4</v>
      </c>
      <c r="H1303" s="1">
        <v>2</v>
      </c>
      <c r="I1303" s="1">
        <v>2</v>
      </c>
      <c r="J1303" s="1">
        <v>2</v>
      </c>
      <c r="K1303" s="1">
        <v>2</v>
      </c>
      <c r="M1303" s="4">
        <v>1453</v>
      </c>
      <c r="N1303" s="1">
        <v>1772</v>
      </c>
      <c r="O1303" s="1">
        <v>4478</v>
      </c>
      <c r="P1303" s="1">
        <v>2706</v>
      </c>
      <c r="Q1303" s="1" t="s">
        <v>42</v>
      </c>
      <c r="S1303" s="1" t="s">
        <v>42</v>
      </c>
      <c r="T1303" s="1" t="s">
        <v>203</v>
      </c>
      <c r="U1303" s="1">
        <v>509</v>
      </c>
      <c r="V1303" s="5">
        <v>44314</v>
      </c>
      <c r="W1303" s="5">
        <v>43031</v>
      </c>
      <c r="X1303" s="1">
        <v>2690000</v>
      </c>
      <c r="Y1303" s="1">
        <v>2421000</v>
      </c>
      <c r="Z1303" s="5">
        <v>43541</v>
      </c>
      <c r="AA1303" s="1">
        <v>2421000</v>
      </c>
      <c r="AB1303" s="1" t="s">
        <v>1004</v>
      </c>
      <c r="AC1303" s="5">
        <v>43725</v>
      </c>
      <c r="AF1303" s="1">
        <v>10013</v>
      </c>
      <c r="AI1303" s="1" t="s">
        <v>103</v>
      </c>
      <c r="AJ1303" s="1">
        <v>2016</v>
      </c>
      <c r="AK1303" s="1" t="s">
        <v>81</v>
      </c>
      <c r="AL1303" s="1">
        <v>111</v>
      </c>
    </row>
    <row r="1304" spans="1:38" x14ac:dyDescent="0.2">
      <c r="A1304" s="2" t="str">
        <f>HYPERLINK("https://www.compass.com/listing/91-leonard-street-unit-8a-manhattan-ny-10013/34689571765641473/","91 Leonard St, Unit 8A")</f>
        <v>91 Leonard St, Unit 8A</v>
      </c>
      <c r="B1304" s="2" t="str">
        <f t="shared" si="236"/>
        <v>91 Leonard</v>
      </c>
      <c r="C1304" s="1" t="s">
        <v>40</v>
      </c>
      <c r="D1304" s="1" t="s">
        <v>41</v>
      </c>
      <c r="E1304" s="3">
        <v>2541756</v>
      </c>
      <c r="F1304" s="1">
        <v>1727.9100271923801</v>
      </c>
      <c r="G1304" s="1">
        <v>4</v>
      </c>
      <c r="H1304" s="1">
        <v>2</v>
      </c>
      <c r="I1304" s="1">
        <v>3</v>
      </c>
      <c r="J1304" s="1">
        <v>2.5</v>
      </c>
      <c r="K1304" s="1">
        <v>2</v>
      </c>
      <c r="L1304" s="1">
        <v>1</v>
      </c>
      <c r="M1304" s="4">
        <v>1471</v>
      </c>
      <c r="N1304" s="1">
        <v>1789</v>
      </c>
      <c r="O1304" s="1">
        <v>4522</v>
      </c>
      <c r="P1304" s="1">
        <v>2733</v>
      </c>
      <c r="Q1304" s="1" t="s">
        <v>42</v>
      </c>
      <c r="S1304" s="1" t="s">
        <v>42</v>
      </c>
      <c r="T1304" s="1" t="s">
        <v>203</v>
      </c>
      <c r="U1304" s="1">
        <v>622</v>
      </c>
      <c r="V1304" s="5">
        <v>44314</v>
      </c>
      <c r="W1304" s="5">
        <v>43031</v>
      </c>
      <c r="X1304" s="1">
        <v>2680000</v>
      </c>
      <c r="Y1304" s="1">
        <v>2740000</v>
      </c>
      <c r="Z1304" s="5">
        <v>43692</v>
      </c>
      <c r="AA1304" s="1">
        <v>2541755.65</v>
      </c>
      <c r="AB1304" s="1" t="s">
        <v>1005</v>
      </c>
      <c r="AC1304" s="5">
        <v>43762</v>
      </c>
      <c r="AF1304" s="1">
        <v>10013</v>
      </c>
      <c r="AI1304" s="1" t="s">
        <v>103</v>
      </c>
      <c r="AJ1304" s="1">
        <v>2016</v>
      </c>
      <c r="AK1304" s="1" t="s">
        <v>81</v>
      </c>
      <c r="AL1304" s="1">
        <v>111</v>
      </c>
    </row>
    <row r="1305" spans="1:38" x14ac:dyDescent="0.2">
      <c r="A1305" s="2" t="str">
        <f>HYPERLINK("https://www.compass.com/listing/91-leonard-street-unit-9b-manhattan-ny-10013/34689572101185825/","91 Leonard St, Unit 9B")</f>
        <v>91 Leonard St, Unit 9B</v>
      </c>
      <c r="B1305" s="2" t="str">
        <f t="shared" si="236"/>
        <v>91 Leonard</v>
      </c>
      <c r="C1305" s="1" t="s">
        <v>40</v>
      </c>
      <c r="D1305" s="1" t="s">
        <v>41</v>
      </c>
      <c r="E1305" s="3">
        <v>2416511</v>
      </c>
      <c r="F1305" s="1">
        <v>1956.6889878542499</v>
      </c>
      <c r="G1305" s="1">
        <v>3</v>
      </c>
      <c r="H1305" s="1">
        <v>2</v>
      </c>
      <c r="I1305" s="1">
        <v>2</v>
      </c>
      <c r="J1305" s="1">
        <v>2</v>
      </c>
      <c r="K1305" s="1">
        <v>2</v>
      </c>
      <c r="M1305" s="4">
        <v>1235</v>
      </c>
      <c r="N1305" s="1">
        <v>1496</v>
      </c>
      <c r="O1305" s="1">
        <v>3807</v>
      </c>
      <c r="P1305" s="1">
        <v>2311</v>
      </c>
      <c r="Q1305" s="1" t="s">
        <v>42</v>
      </c>
      <c r="S1305" s="1" t="s">
        <v>42</v>
      </c>
      <c r="T1305" s="1" t="s">
        <v>203</v>
      </c>
      <c r="U1305" s="1">
        <v>172</v>
      </c>
      <c r="V1305" s="5">
        <v>44314</v>
      </c>
      <c r="W1305" s="5">
        <v>43127</v>
      </c>
      <c r="X1305" s="1">
        <v>2370000</v>
      </c>
      <c r="Y1305" s="1">
        <v>2370000</v>
      </c>
      <c r="Z1305" s="5">
        <v>43300</v>
      </c>
      <c r="AA1305" s="1">
        <v>2416510.9</v>
      </c>
      <c r="AB1305" s="1" t="s">
        <v>1006</v>
      </c>
      <c r="AC1305" s="5">
        <v>43704</v>
      </c>
      <c r="AF1305" s="1">
        <v>10013</v>
      </c>
      <c r="AI1305" s="1" t="s">
        <v>103</v>
      </c>
      <c r="AJ1305" s="1">
        <v>2016</v>
      </c>
      <c r="AK1305" s="1" t="s">
        <v>81</v>
      </c>
      <c r="AL1305" s="1">
        <v>111</v>
      </c>
    </row>
    <row r="1306" spans="1:38" x14ac:dyDescent="0.2">
      <c r="A1306" s="2" t="str">
        <f>HYPERLINK("https://www.compass.com/listing/91-leonard-street-unit-7c-manhattan-ny-10013/34697254321307025/","91 Leonard St, Unit 7C")</f>
        <v>91 Leonard St, Unit 7C</v>
      </c>
      <c r="B1306" s="2" t="str">
        <f t="shared" si="236"/>
        <v>91 Leonard</v>
      </c>
      <c r="C1306" s="1" t="s">
        <v>40</v>
      </c>
      <c r="D1306" s="1" t="s">
        <v>41</v>
      </c>
      <c r="E1306" s="3">
        <v>2650000</v>
      </c>
      <c r="F1306" s="1">
        <v>1738.84514435695</v>
      </c>
      <c r="G1306" s="1">
        <v>5</v>
      </c>
      <c r="H1306" s="1">
        <v>2</v>
      </c>
      <c r="I1306" s="1">
        <v>3</v>
      </c>
      <c r="J1306" s="1">
        <v>2.5</v>
      </c>
      <c r="K1306" s="1">
        <v>2</v>
      </c>
      <c r="L1306" s="1">
        <v>1</v>
      </c>
      <c r="M1306" s="4">
        <v>1524</v>
      </c>
      <c r="N1306" s="1">
        <v>1846</v>
      </c>
      <c r="O1306" s="1">
        <v>4697</v>
      </c>
      <c r="P1306" s="1">
        <v>2851</v>
      </c>
      <c r="Q1306" s="1" t="s">
        <v>42</v>
      </c>
      <c r="S1306" s="1" t="s">
        <v>42</v>
      </c>
      <c r="T1306" s="1" t="s">
        <v>203</v>
      </c>
      <c r="V1306" s="5">
        <v>44314</v>
      </c>
      <c r="AA1306" s="1">
        <v>2650000</v>
      </c>
      <c r="AB1306" s="1" t="s">
        <v>204</v>
      </c>
      <c r="AC1306" s="5">
        <v>43068</v>
      </c>
      <c r="AF1306" s="1">
        <v>10013</v>
      </c>
      <c r="AI1306" s="1" t="s">
        <v>103</v>
      </c>
      <c r="AJ1306" s="1">
        <v>2016</v>
      </c>
      <c r="AK1306" s="1" t="s">
        <v>81</v>
      </c>
      <c r="AL1306" s="1">
        <v>111</v>
      </c>
    </row>
    <row r="1307" spans="1:38" x14ac:dyDescent="0.2">
      <c r="A1307" s="2" t="str">
        <f>HYPERLINK("https://www.compass.com/listing/91-leonard-street-unit-7a-manhattan-ny-10013/34697261350942993/","91 Leonard St, Unit 7A")</f>
        <v>91 Leonard St, Unit 7A</v>
      </c>
      <c r="B1307" s="2" t="str">
        <f t="shared" si="236"/>
        <v>91 Leonard</v>
      </c>
      <c r="C1307" s="1" t="s">
        <v>40</v>
      </c>
      <c r="D1307" s="1" t="s">
        <v>41</v>
      </c>
      <c r="E1307" s="3">
        <v>2660000</v>
      </c>
      <c r="F1307" s="1">
        <v>1819.42544459644</v>
      </c>
      <c r="G1307" s="1">
        <v>5</v>
      </c>
      <c r="H1307" s="1">
        <v>2</v>
      </c>
      <c r="I1307" s="1">
        <v>3</v>
      </c>
      <c r="J1307" s="1">
        <v>2.5</v>
      </c>
      <c r="K1307" s="1">
        <v>2</v>
      </c>
      <c r="L1307" s="1">
        <v>1</v>
      </c>
      <c r="M1307" s="4">
        <v>1462</v>
      </c>
      <c r="N1307" s="1">
        <v>1769</v>
      </c>
      <c r="O1307" s="1">
        <v>4501</v>
      </c>
      <c r="P1307" s="1">
        <v>2732</v>
      </c>
      <c r="Q1307" s="1" t="s">
        <v>42</v>
      </c>
      <c r="S1307" s="1" t="s">
        <v>42</v>
      </c>
      <c r="T1307" s="1" t="s">
        <v>203</v>
      </c>
      <c r="V1307" s="5">
        <v>44314</v>
      </c>
      <c r="AA1307" s="1">
        <v>2660000</v>
      </c>
      <c r="AB1307" s="1" t="s">
        <v>204</v>
      </c>
      <c r="AC1307" s="5">
        <v>43041</v>
      </c>
      <c r="AF1307" s="1">
        <v>10013</v>
      </c>
      <c r="AI1307" s="1" t="s">
        <v>103</v>
      </c>
      <c r="AJ1307" s="1">
        <v>2016</v>
      </c>
      <c r="AK1307" s="1" t="s">
        <v>81</v>
      </c>
      <c r="AL1307" s="1">
        <v>111</v>
      </c>
    </row>
    <row r="1308" spans="1:38" x14ac:dyDescent="0.2">
      <c r="A1308" s="2" t="str">
        <f>HYPERLINK("https://www.compass.com/listing/91-leonard-street-unit-8c-manhattan-ny-10013/34698290775785233/","91 Leonard St, Unit 8C")</f>
        <v>91 Leonard St, Unit 8C</v>
      </c>
      <c r="B1308" s="2" t="str">
        <f t="shared" si="236"/>
        <v>91 Leonard</v>
      </c>
      <c r="C1308" s="1" t="s">
        <v>40</v>
      </c>
      <c r="D1308" s="1" t="s">
        <v>41</v>
      </c>
      <c r="E1308" s="3">
        <v>2670000</v>
      </c>
      <c r="F1308" s="1">
        <v>1749.6723460026201</v>
      </c>
      <c r="G1308" s="1">
        <v>5</v>
      </c>
      <c r="H1308" s="1">
        <v>2</v>
      </c>
      <c r="I1308" s="1">
        <v>3</v>
      </c>
      <c r="J1308" s="1">
        <v>2.5</v>
      </c>
      <c r="K1308" s="1">
        <v>2</v>
      </c>
      <c r="L1308" s="1">
        <v>1</v>
      </c>
      <c r="M1308" s="4">
        <v>1526</v>
      </c>
      <c r="N1308" s="1">
        <v>1858</v>
      </c>
      <c r="O1308" s="1">
        <v>4728</v>
      </c>
      <c r="P1308" s="1">
        <v>2870</v>
      </c>
      <c r="Q1308" s="1" t="s">
        <v>42</v>
      </c>
      <c r="S1308" s="1" t="s">
        <v>42</v>
      </c>
      <c r="T1308" s="1" t="s">
        <v>203</v>
      </c>
      <c r="V1308" s="5">
        <v>44314</v>
      </c>
      <c r="AA1308" s="1">
        <v>2670000</v>
      </c>
      <c r="AB1308" s="1" t="s">
        <v>204</v>
      </c>
      <c r="AC1308" s="5">
        <v>43068</v>
      </c>
      <c r="AF1308" s="1">
        <v>10013</v>
      </c>
      <c r="AI1308" s="1" t="s">
        <v>103</v>
      </c>
      <c r="AJ1308" s="1">
        <v>2016</v>
      </c>
      <c r="AK1308" s="1" t="s">
        <v>81</v>
      </c>
      <c r="AL1308" s="1">
        <v>111</v>
      </c>
    </row>
    <row r="1309" spans="1:38" x14ac:dyDescent="0.2">
      <c r="A1309" s="2" t="str">
        <f>HYPERLINK("https://www.compass.com/listing/133-mulberry-street-unit-6b-manhattan-ny-10013/181048508671917233/","133 Mulberry St, Unit 6B")</f>
        <v>133 Mulberry St, Unit 6B</v>
      </c>
      <c r="B1309" s="2" t="str">
        <f>HYPERLINK("https://www.compass.com/building/133-mulberry-st-manhattan-ny-10013/281916941336083477/","133 Mulberry St")</f>
        <v>133 Mulberry St</v>
      </c>
      <c r="C1309" s="1" t="s">
        <v>135</v>
      </c>
      <c r="D1309" s="1" t="s">
        <v>41</v>
      </c>
      <c r="E1309" s="3">
        <v>3742069</v>
      </c>
      <c r="F1309" s="1">
        <v>1936.8887163561001</v>
      </c>
      <c r="G1309" s="1">
        <v>4</v>
      </c>
      <c r="H1309" s="1">
        <v>2</v>
      </c>
      <c r="I1309" s="1">
        <v>2</v>
      </c>
      <c r="J1309" s="1">
        <v>2</v>
      </c>
      <c r="K1309" s="1">
        <v>2</v>
      </c>
      <c r="M1309" s="4">
        <v>1932</v>
      </c>
      <c r="N1309" s="1">
        <v>1455.84</v>
      </c>
      <c r="O1309" s="1">
        <v>3483.43</v>
      </c>
      <c r="P1309" s="1">
        <v>2027.5833333333301</v>
      </c>
      <c r="Q1309" s="1" t="s">
        <v>42</v>
      </c>
      <c r="S1309" s="1" t="s">
        <v>42</v>
      </c>
      <c r="T1309" s="1" t="s">
        <v>203</v>
      </c>
      <c r="U1309" s="1">
        <v>37</v>
      </c>
      <c r="V1309" s="5">
        <v>43637</v>
      </c>
      <c r="W1309" s="5">
        <v>42214</v>
      </c>
      <c r="X1309" s="1">
        <v>3650000</v>
      </c>
      <c r="Y1309" s="1">
        <v>3650000</v>
      </c>
      <c r="Z1309" s="5">
        <v>42251</v>
      </c>
      <c r="AA1309" s="1">
        <v>3742069</v>
      </c>
      <c r="AB1309" s="1" t="s">
        <v>1007</v>
      </c>
      <c r="AC1309" s="5">
        <v>42517</v>
      </c>
      <c r="AF1309" s="1">
        <v>10013</v>
      </c>
      <c r="AI1309" s="1" t="s">
        <v>971</v>
      </c>
      <c r="AJ1309" s="1">
        <v>1893</v>
      </c>
      <c r="AK1309" s="1" t="s">
        <v>137</v>
      </c>
      <c r="AL1309" s="1">
        <v>18</v>
      </c>
    </row>
    <row r="1310" spans="1:38" x14ac:dyDescent="0.2">
      <c r="A1310" s="2" t="str">
        <f>HYPERLINK("https://www.compass.com/listing/91-leonard-street-unit-13a-manhattan-ny-10013/803409943239591681/","91 Leonard St, Unit 13A")</f>
        <v>91 Leonard St, Unit 13A</v>
      </c>
      <c r="B1310" s="2" t="str">
        <f t="shared" ref="B1310:B1320" si="237">HYPERLINK("https://www.compass.com/building/91-leonard-manhattan-ny/282058661633754165/","91 Leonard")</f>
        <v>91 Leonard</v>
      </c>
      <c r="C1310" s="1" t="s">
        <v>40</v>
      </c>
      <c r="D1310" s="1" t="s">
        <v>41</v>
      </c>
      <c r="E1310" s="3">
        <v>2900000</v>
      </c>
      <c r="F1310" s="1">
        <v>1964.76964769647</v>
      </c>
      <c r="G1310" s="1">
        <v>4</v>
      </c>
      <c r="H1310" s="1">
        <v>2</v>
      </c>
      <c r="I1310" s="1">
        <v>4</v>
      </c>
      <c r="J1310" s="1">
        <v>4</v>
      </c>
      <c r="K1310" s="1">
        <v>4</v>
      </c>
      <c r="M1310" s="4">
        <v>1476</v>
      </c>
      <c r="N1310" s="1">
        <v>1806</v>
      </c>
      <c r="O1310" s="1">
        <v>4564</v>
      </c>
      <c r="P1310" s="1">
        <v>2758</v>
      </c>
      <c r="Q1310" s="1" t="s">
        <v>42</v>
      </c>
      <c r="S1310" s="1" t="s">
        <v>42</v>
      </c>
      <c r="T1310" s="1" t="s">
        <v>203</v>
      </c>
      <c r="U1310" s="1">
        <v>223</v>
      </c>
      <c r="V1310" s="5">
        <v>44314</v>
      </c>
      <c r="W1310" s="5">
        <v>43076</v>
      </c>
      <c r="X1310" s="1">
        <v>2900000</v>
      </c>
      <c r="Y1310" s="1">
        <v>2900000</v>
      </c>
      <c r="Z1310" s="5">
        <v>43300</v>
      </c>
      <c r="AA1310" s="1">
        <v>2900000</v>
      </c>
      <c r="AB1310" s="1" t="s">
        <v>1008</v>
      </c>
      <c r="AC1310" s="5">
        <v>44285</v>
      </c>
      <c r="AF1310" s="1">
        <v>10013</v>
      </c>
      <c r="AI1310" s="1" t="s">
        <v>998</v>
      </c>
      <c r="AJ1310" s="1">
        <v>2016</v>
      </c>
      <c r="AK1310" s="1" t="s">
        <v>81</v>
      </c>
      <c r="AL1310" s="1">
        <v>111</v>
      </c>
    </row>
    <row r="1311" spans="1:38" x14ac:dyDescent="0.2">
      <c r="A1311" s="2" t="str">
        <f>HYPERLINK("https://www.compass.com/listing/91-leonard-street-unit-2c-manhattan-ny-10013/34689537062071521/","91 Leonard St, Unit 2C")</f>
        <v>91 Leonard St, Unit 2C</v>
      </c>
      <c r="B1311" s="2" t="str">
        <f t="shared" si="237"/>
        <v>91 Leonard</v>
      </c>
      <c r="C1311" s="1" t="s">
        <v>40</v>
      </c>
      <c r="D1311" s="1" t="s">
        <v>41</v>
      </c>
      <c r="E1311" s="3">
        <v>3265000</v>
      </c>
      <c r="F1311" s="1">
        <v>1613.9396935244599</v>
      </c>
      <c r="G1311" s="1">
        <v>7</v>
      </c>
      <c r="H1311" s="1">
        <v>3</v>
      </c>
      <c r="I1311" s="1">
        <v>4</v>
      </c>
      <c r="J1311" s="1">
        <v>3.5</v>
      </c>
      <c r="K1311" s="1">
        <v>3</v>
      </c>
      <c r="L1311" s="1">
        <v>1</v>
      </c>
      <c r="M1311" s="4">
        <v>2023</v>
      </c>
      <c r="N1311" s="1">
        <v>2704</v>
      </c>
      <c r="O1311" s="1">
        <v>6833</v>
      </c>
      <c r="P1311" s="1">
        <v>4129</v>
      </c>
      <c r="Q1311" s="1" t="s">
        <v>42</v>
      </c>
      <c r="S1311" s="1" t="s">
        <v>42</v>
      </c>
      <c r="T1311" s="1" t="s">
        <v>203</v>
      </c>
      <c r="V1311" s="5">
        <v>44314</v>
      </c>
      <c r="W1311" s="5">
        <v>43032</v>
      </c>
      <c r="X1311" s="1">
        <v>3265000</v>
      </c>
      <c r="Y1311" s="1">
        <v>3265000</v>
      </c>
      <c r="Z1311" s="5">
        <v>43032</v>
      </c>
      <c r="AA1311" s="1">
        <v>3265000</v>
      </c>
      <c r="AB1311" s="1" t="s">
        <v>204</v>
      </c>
      <c r="AC1311" s="5">
        <v>43311</v>
      </c>
      <c r="AF1311" s="1">
        <v>10013</v>
      </c>
      <c r="AI1311" s="1" t="s">
        <v>103</v>
      </c>
      <c r="AJ1311" s="1">
        <v>2016</v>
      </c>
      <c r="AK1311" s="1" t="s">
        <v>81</v>
      </c>
      <c r="AL1311" s="1">
        <v>111</v>
      </c>
    </row>
    <row r="1312" spans="1:38" x14ac:dyDescent="0.2">
      <c r="A1312" s="2" t="str">
        <f>HYPERLINK("https://www.compass.com/listing/91-leonard-street-unit-9f-manhattan-ny-10013/34689569727198913/","91 Leonard St, Unit 9F")</f>
        <v>91 Leonard St, Unit 9F</v>
      </c>
      <c r="B1312" s="2" t="str">
        <f t="shared" si="237"/>
        <v>91 Leonard</v>
      </c>
      <c r="C1312" s="1" t="s">
        <v>40</v>
      </c>
      <c r="D1312" s="1" t="s">
        <v>41</v>
      </c>
      <c r="E1312" s="3">
        <v>3703200</v>
      </c>
      <c r="F1312" s="1">
        <v>1708.90632210429</v>
      </c>
      <c r="G1312" s="1">
        <v>5</v>
      </c>
      <c r="H1312" s="1">
        <v>3</v>
      </c>
      <c r="I1312" s="1">
        <v>4</v>
      </c>
      <c r="J1312" s="1">
        <v>3.5</v>
      </c>
      <c r="K1312" s="1">
        <v>3</v>
      </c>
      <c r="L1312" s="1">
        <v>1</v>
      </c>
      <c r="M1312" s="4">
        <v>2167</v>
      </c>
      <c r="N1312" s="1">
        <v>2652</v>
      </c>
      <c r="O1312" s="1">
        <v>6748</v>
      </c>
      <c r="P1312" s="1">
        <v>4096</v>
      </c>
      <c r="Q1312" s="1" t="s">
        <v>42</v>
      </c>
      <c r="S1312" s="1" t="s">
        <v>42</v>
      </c>
      <c r="T1312" s="1" t="s">
        <v>203</v>
      </c>
      <c r="U1312" s="1">
        <v>583</v>
      </c>
      <c r="V1312" s="5">
        <v>44314</v>
      </c>
      <c r="W1312" s="5">
        <v>43031</v>
      </c>
      <c r="X1312" s="1">
        <v>4310000</v>
      </c>
      <c r="Y1312" s="1">
        <v>3879000</v>
      </c>
      <c r="Z1312" s="5">
        <v>43615</v>
      </c>
      <c r="AA1312" s="1">
        <v>3703200</v>
      </c>
      <c r="AB1312" s="1" t="s">
        <v>1009</v>
      </c>
      <c r="AC1312" s="5">
        <v>43734</v>
      </c>
      <c r="AF1312" s="1">
        <v>10013</v>
      </c>
      <c r="AI1312" s="1" t="s">
        <v>103</v>
      </c>
      <c r="AJ1312" s="1">
        <v>2016</v>
      </c>
      <c r="AK1312" s="1" t="s">
        <v>81</v>
      </c>
      <c r="AL1312" s="1">
        <v>111</v>
      </c>
    </row>
    <row r="1313" spans="1:38" x14ac:dyDescent="0.2">
      <c r="A1313" s="2" t="str">
        <f>HYPERLINK("https://www.compass.com/listing/91-leonard-street-unit-2c-manhattan-ny-10013/67908224531164801/","91 Leonard St, Unit 2C")</f>
        <v>91 Leonard St, Unit 2C</v>
      </c>
      <c r="B1313" s="2" t="str">
        <f t="shared" si="237"/>
        <v>91 Leonard</v>
      </c>
      <c r="C1313" s="1" t="s">
        <v>40</v>
      </c>
      <c r="D1313" s="1" t="s">
        <v>41</v>
      </c>
      <c r="E1313" s="3">
        <v>3268200</v>
      </c>
      <c r="F1313" s="1">
        <v>1615.5215027187301</v>
      </c>
      <c r="G1313" s="1">
        <v>5</v>
      </c>
      <c r="H1313" s="1">
        <v>3</v>
      </c>
      <c r="I1313" s="1">
        <v>4</v>
      </c>
      <c r="J1313" s="1">
        <v>3.5</v>
      </c>
      <c r="K1313" s="1">
        <v>3</v>
      </c>
      <c r="L1313" s="1">
        <v>1</v>
      </c>
      <c r="M1313" s="4">
        <v>2023</v>
      </c>
      <c r="N1313" s="1">
        <v>2704</v>
      </c>
      <c r="O1313" s="1">
        <v>6833</v>
      </c>
      <c r="P1313" s="1">
        <v>4129</v>
      </c>
      <c r="Q1313" s="1" t="s">
        <v>42</v>
      </c>
      <c r="S1313" s="1" t="s">
        <v>42</v>
      </c>
      <c r="T1313" s="1" t="s">
        <v>203</v>
      </c>
      <c r="V1313" s="5">
        <v>44314</v>
      </c>
      <c r="W1313" s="5">
        <v>43346</v>
      </c>
      <c r="X1313" s="1">
        <v>3265000</v>
      </c>
      <c r="Y1313" s="1">
        <v>3265000</v>
      </c>
      <c r="Z1313" s="5">
        <v>43346</v>
      </c>
      <c r="AA1313" s="1">
        <v>3268200</v>
      </c>
      <c r="AB1313" s="1" t="s">
        <v>1010</v>
      </c>
      <c r="AC1313" s="5">
        <v>43721</v>
      </c>
      <c r="AF1313" s="1">
        <v>10013</v>
      </c>
      <c r="AI1313" s="1" t="s">
        <v>123</v>
      </c>
      <c r="AJ1313" s="1">
        <v>2016</v>
      </c>
      <c r="AK1313" s="1" t="s">
        <v>81</v>
      </c>
      <c r="AL1313" s="1">
        <v>111</v>
      </c>
    </row>
    <row r="1314" spans="1:38" x14ac:dyDescent="0.2">
      <c r="A1314" s="2" t="str">
        <f>HYPERLINK("https://www.compass.com/listing/91-leonard-street-unit-12a-manhattan-ny-10013/34689501343276401/","91 Leonard St, Unit 12A")</f>
        <v>91 Leonard St, Unit 12A</v>
      </c>
      <c r="B1314" s="2" t="str">
        <f t="shared" si="237"/>
        <v>91 Leonard</v>
      </c>
      <c r="C1314" s="1" t="s">
        <v>40</v>
      </c>
      <c r="D1314" s="1" t="s">
        <v>41</v>
      </c>
      <c r="E1314" s="3">
        <v>2880000</v>
      </c>
      <c r="F1314" s="1">
        <v>1951.2195121951199</v>
      </c>
      <c r="G1314" s="1">
        <v>4</v>
      </c>
      <c r="H1314" s="1">
        <v>2</v>
      </c>
      <c r="I1314" s="1">
        <v>3</v>
      </c>
      <c r="J1314" s="1">
        <v>2.5</v>
      </c>
      <c r="K1314" s="1">
        <v>2</v>
      </c>
      <c r="L1314" s="1">
        <v>1</v>
      </c>
      <c r="M1314" s="4">
        <v>1476</v>
      </c>
      <c r="N1314" s="1">
        <v>1801</v>
      </c>
      <c r="O1314" s="1">
        <v>4551</v>
      </c>
      <c r="P1314" s="1">
        <v>2750</v>
      </c>
      <c r="Q1314" s="1" t="s">
        <v>42</v>
      </c>
      <c r="S1314" s="1" t="s">
        <v>42</v>
      </c>
      <c r="T1314" s="1" t="s">
        <v>203</v>
      </c>
      <c r="V1314" s="5">
        <v>44314</v>
      </c>
      <c r="W1314" s="5">
        <v>43108</v>
      </c>
      <c r="X1314" s="1">
        <v>2880000</v>
      </c>
      <c r="Y1314" s="1">
        <v>2880000</v>
      </c>
      <c r="AA1314" s="1">
        <v>2880000</v>
      </c>
      <c r="AB1314" s="1" t="s">
        <v>204</v>
      </c>
      <c r="AC1314" s="5">
        <v>43108</v>
      </c>
      <c r="AF1314" s="1">
        <v>10013</v>
      </c>
      <c r="AI1314" s="1" t="s">
        <v>103</v>
      </c>
      <c r="AJ1314" s="1">
        <v>2016</v>
      </c>
      <c r="AK1314" s="1" t="s">
        <v>81</v>
      </c>
      <c r="AL1314" s="1">
        <v>111</v>
      </c>
    </row>
    <row r="1315" spans="1:38" x14ac:dyDescent="0.2">
      <c r="A1315" s="2" t="str">
        <f>HYPERLINK("https://www.compass.com/listing/91-leonard-street-unit-11a-manhattan-ny-10013/34697253977373937/","91 Leonard St, Unit 11A")</f>
        <v>91 Leonard St, Unit 11A</v>
      </c>
      <c r="B1315" s="2" t="str">
        <f t="shared" si="237"/>
        <v>91 Leonard</v>
      </c>
      <c r="C1315" s="1" t="s">
        <v>40</v>
      </c>
      <c r="D1315" s="1" t="s">
        <v>41</v>
      </c>
      <c r="E1315" s="3">
        <v>2913148</v>
      </c>
      <c r="F1315" s="1">
        <v>1973.67716802168</v>
      </c>
      <c r="G1315" s="1">
        <v>5</v>
      </c>
      <c r="H1315" s="1">
        <v>2</v>
      </c>
      <c r="I1315" s="1">
        <v>3</v>
      </c>
      <c r="J1315" s="1">
        <v>2.5</v>
      </c>
      <c r="K1315" s="1">
        <v>2</v>
      </c>
      <c r="L1315" s="1">
        <v>1</v>
      </c>
      <c r="M1315" s="4">
        <v>1476</v>
      </c>
      <c r="N1315" s="1">
        <v>1801</v>
      </c>
      <c r="O1315" s="1">
        <v>4551</v>
      </c>
      <c r="P1315" s="1">
        <v>2750</v>
      </c>
      <c r="Q1315" s="1" t="s">
        <v>42</v>
      </c>
      <c r="S1315" s="1" t="s">
        <v>42</v>
      </c>
      <c r="T1315" s="1" t="s">
        <v>203</v>
      </c>
      <c r="U1315" s="1">
        <v>223</v>
      </c>
      <c r="V1315" s="5">
        <v>44314</v>
      </c>
      <c r="W1315" s="5">
        <v>43076</v>
      </c>
      <c r="X1315" s="1">
        <v>2860000</v>
      </c>
      <c r="Y1315" s="1">
        <v>2860000</v>
      </c>
      <c r="Z1315" s="5">
        <v>43300</v>
      </c>
      <c r="AA1315" s="1">
        <v>2913147.5</v>
      </c>
      <c r="AB1315" s="1" t="s">
        <v>1011</v>
      </c>
      <c r="AC1315" s="5">
        <v>43734</v>
      </c>
      <c r="AF1315" s="1">
        <v>10013</v>
      </c>
      <c r="AI1315" s="1" t="s">
        <v>103</v>
      </c>
      <c r="AJ1315" s="1">
        <v>2016</v>
      </c>
      <c r="AK1315" s="1" t="s">
        <v>81</v>
      </c>
      <c r="AL1315" s="1">
        <v>111</v>
      </c>
    </row>
    <row r="1316" spans="1:38" x14ac:dyDescent="0.2">
      <c r="A1316" s="2" t="str">
        <f>HYPERLINK("https://www.compass.com/listing/91-leonard-street-unit-10a-manhattan-ny-10013/34697265218093041/","91 Leonard St, Unit 10A")</f>
        <v>91 Leonard St, Unit 10A</v>
      </c>
      <c r="B1316" s="2" t="str">
        <f t="shared" si="237"/>
        <v>91 Leonard</v>
      </c>
      <c r="C1316" s="1" t="s">
        <v>40</v>
      </c>
      <c r="D1316" s="1" t="s">
        <v>41</v>
      </c>
      <c r="E1316" s="3">
        <v>2833993</v>
      </c>
      <c r="F1316" s="1">
        <v>1923.9602172437201</v>
      </c>
      <c r="G1316" s="1">
        <v>5</v>
      </c>
      <c r="H1316" s="1">
        <v>2</v>
      </c>
      <c r="I1316" s="1">
        <v>3</v>
      </c>
      <c r="J1316" s="1">
        <v>2.5</v>
      </c>
      <c r="K1316" s="1">
        <v>2</v>
      </c>
      <c r="L1316" s="1">
        <v>1</v>
      </c>
      <c r="M1316" s="4">
        <v>1473</v>
      </c>
      <c r="N1316" s="1">
        <v>1792</v>
      </c>
      <c r="O1316" s="1">
        <v>4529</v>
      </c>
      <c r="P1316" s="1">
        <v>2737</v>
      </c>
      <c r="Q1316" s="1" t="s">
        <v>42</v>
      </c>
      <c r="S1316" s="1" t="s">
        <v>42</v>
      </c>
      <c r="T1316" s="1" t="s">
        <v>203</v>
      </c>
      <c r="U1316" s="1">
        <v>223</v>
      </c>
      <c r="V1316" s="5">
        <v>44314</v>
      </c>
      <c r="W1316" s="5">
        <v>43076</v>
      </c>
      <c r="X1316" s="1">
        <v>2810000</v>
      </c>
      <c r="Y1316" s="1">
        <v>2810000</v>
      </c>
      <c r="Z1316" s="5">
        <v>43300</v>
      </c>
      <c r="AA1316" s="1">
        <v>2833993.4</v>
      </c>
      <c r="AB1316" s="1" t="s">
        <v>1012</v>
      </c>
      <c r="AC1316" s="5">
        <v>43746</v>
      </c>
      <c r="AF1316" s="1">
        <v>10013</v>
      </c>
      <c r="AI1316" s="1" t="s">
        <v>103</v>
      </c>
      <c r="AJ1316" s="1">
        <v>2016</v>
      </c>
      <c r="AK1316" s="1" t="s">
        <v>81</v>
      </c>
      <c r="AL1316" s="1">
        <v>111</v>
      </c>
    </row>
    <row r="1317" spans="1:38" x14ac:dyDescent="0.2">
      <c r="A1317" s="2" t="str">
        <f>HYPERLINK("https://www.compass.com/listing/91-leonard-street-unit-16b-manhattan-ny-10013/262926220725854833/","91 Leonard St, Unit 16B")</f>
        <v>91 Leonard St, Unit 16B</v>
      </c>
      <c r="B1317" s="2" t="str">
        <f t="shared" si="237"/>
        <v>91 Leonard</v>
      </c>
      <c r="C1317" s="1" t="s">
        <v>40</v>
      </c>
      <c r="D1317" s="1" t="s">
        <v>41</v>
      </c>
      <c r="E1317" s="3">
        <v>3030210</v>
      </c>
      <c r="F1317" s="1">
        <v>1919.0691450284901</v>
      </c>
      <c r="G1317" s="1">
        <v>3.5</v>
      </c>
      <c r="H1317" s="1">
        <v>2</v>
      </c>
      <c r="I1317" s="1">
        <v>3</v>
      </c>
      <c r="J1317" s="1">
        <v>2.5</v>
      </c>
      <c r="K1317" s="1">
        <v>2</v>
      </c>
      <c r="L1317" s="1">
        <v>1</v>
      </c>
      <c r="M1317" s="4">
        <v>1579</v>
      </c>
      <c r="N1317" s="1">
        <v>1948</v>
      </c>
      <c r="O1317" s="1">
        <v>4924</v>
      </c>
      <c r="P1317" s="1">
        <v>2976</v>
      </c>
      <c r="Q1317" s="1" t="s">
        <v>42</v>
      </c>
      <c r="S1317" s="1" t="s">
        <v>42</v>
      </c>
      <c r="T1317" s="1" t="s">
        <v>203</v>
      </c>
      <c r="V1317" s="5">
        <v>44334</v>
      </c>
      <c r="W1317" s="5">
        <v>43615</v>
      </c>
      <c r="X1317" s="1">
        <v>3303000</v>
      </c>
      <c r="Y1317" s="1">
        <v>3303000</v>
      </c>
      <c r="Z1317" s="5">
        <v>43615</v>
      </c>
      <c r="AA1317" s="1">
        <v>3030210.18</v>
      </c>
      <c r="AB1317" s="1" t="s">
        <v>1013</v>
      </c>
      <c r="AC1317" s="5">
        <v>43753</v>
      </c>
      <c r="AF1317" s="1">
        <v>10013</v>
      </c>
      <c r="AI1317" s="1" t="s">
        <v>103</v>
      </c>
      <c r="AJ1317" s="1">
        <v>2016</v>
      </c>
      <c r="AK1317" s="1" t="s">
        <v>81</v>
      </c>
      <c r="AL1317" s="1">
        <v>111</v>
      </c>
    </row>
    <row r="1318" spans="1:38" x14ac:dyDescent="0.2">
      <c r="A1318" s="2" t="str">
        <f>HYPERLINK("https://www.compass.com/listing/91-leonard-street-unit-15b-manhattan-ny-10013/34689498440817793/","91 Leonard St, Unit 15B")</f>
        <v>91 Leonard St, Unit 15B</v>
      </c>
      <c r="B1318" s="2" t="str">
        <f t="shared" si="237"/>
        <v>91 Leonard</v>
      </c>
      <c r="C1318" s="1" t="s">
        <v>40</v>
      </c>
      <c r="D1318" s="1" t="s">
        <v>41</v>
      </c>
      <c r="E1318" s="3">
        <v>3200000</v>
      </c>
      <c r="F1318" s="1">
        <v>2026.59911336288</v>
      </c>
      <c r="G1318" s="1">
        <v>4</v>
      </c>
      <c r="H1318" s="1">
        <v>2</v>
      </c>
      <c r="I1318" s="1">
        <v>3</v>
      </c>
      <c r="J1318" s="1">
        <v>2.5</v>
      </c>
      <c r="K1318" s="1">
        <v>2</v>
      </c>
      <c r="L1318" s="1">
        <v>1</v>
      </c>
      <c r="M1318" s="4">
        <v>1579</v>
      </c>
      <c r="N1318" s="1">
        <v>1944</v>
      </c>
      <c r="O1318" s="1">
        <v>4912</v>
      </c>
      <c r="P1318" s="1">
        <v>2968</v>
      </c>
      <c r="Q1318" s="1" t="s">
        <v>42</v>
      </c>
      <c r="S1318" s="1" t="s">
        <v>42</v>
      </c>
      <c r="T1318" s="1" t="s">
        <v>203</v>
      </c>
      <c r="U1318" s="1">
        <v>561</v>
      </c>
      <c r="V1318" s="5">
        <v>44314</v>
      </c>
      <c r="W1318" s="5">
        <v>43083</v>
      </c>
      <c r="X1318" s="1">
        <v>3650000</v>
      </c>
      <c r="Y1318" s="1">
        <v>3285000</v>
      </c>
      <c r="Z1318" s="5">
        <v>43645</v>
      </c>
      <c r="AA1318" s="1">
        <v>3200000</v>
      </c>
      <c r="AB1318" s="1" t="s">
        <v>1014</v>
      </c>
      <c r="AC1318" s="5">
        <v>43767</v>
      </c>
      <c r="AF1318" s="1">
        <v>10013</v>
      </c>
      <c r="AI1318" s="1" t="s">
        <v>103</v>
      </c>
      <c r="AJ1318" s="1">
        <v>2016</v>
      </c>
      <c r="AK1318" s="1" t="s">
        <v>81</v>
      </c>
      <c r="AL1318" s="1">
        <v>111</v>
      </c>
    </row>
    <row r="1319" spans="1:38" x14ac:dyDescent="0.2">
      <c r="A1319" s="2" t="str">
        <f>HYPERLINK("https://www.compass.com/listing/91-leonard-street-unit-2e-manhattan-ny-10013/34689569198716577/","91 Leonard St, Unit 2E")</f>
        <v>91 Leonard St, Unit 2E</v>
      </c>
      <c r="B1319" s="2" t="str">
        <f t="shared" si="237"/>
        <v>91 Leonard</v>
      </c>
      <c r="C1319" s="1" t="s">
        <v>40</v>
      </c>
      <c r="D1319" s="1" t="s">
        <v>41</v>
      </c>
      <c r="E1319" s="3">
        <v>3375000</v>
      </c>
      <c r="F1319" s="1">
        <v>1794.2583732057401</v>
      </c>
      <c r="G1319" s="1">
        <v>4</v>
      </c>
      <c r="H1319" s="1">
        <v>2</v>
      </c>
      <c r="I1319" s="1">
        <v>3</v>
      </c>
      <c r="J1319" s="1">
        <v>2.5</v>
      </c>
      <c r="K1319" s="1">
        <v>2</v>
      </c>
      <c r="L1319" s="1">
        <v>1</v>
      </c>
      <c r="M1319" s="4">
        <v>1881</v>
      </c>
      <c r="N1319" s="1">
        <v>2611</v>
      </c>
      <c r="O1319" s="1">
        <v>6599</v>
      </c>
      <c r="P1319" s="1">
        <v>3988</v>
      </c>
      <c r="Q1319" s="1" t="s">
        <v>42</v>
      </c>
      <c r="S1319" s="1" t="s">
        <v>42</v>
      </c>
      <c r="T1319" s="1" t="s">
        <v>203</v>
      </c>
      <c r="U1319" s="1">
        <v>294</v>
      </c>
      <c r="V1319" s="5">
        <v>44314</v>
      </c>
      <c r="W1319" s="5">
        <v>43032</v>
      </c>
      <c r="X1319" s="1">
        <v>3400000</v>
      </c>
      <c r="Y1319" s="1">
        <v>3400000</v>
      </c>
      <c r="Z1319" s="5">
        <v>43326</v>
      </c>
      <c r="AA1319" s="1">
        <v>3375000</v>
      </c>
      <c r="AB1319" s="1" t="s">
        <v>204</v>
      </c>
      <c r="AC1319" s="5">
        <v>43326</v>
      </c>
      <c r="AF1319" s="1">
        <v>10013</v>
      </c>
      <c r="AI1319" s="1" t="s">
        <v>103</v>
      </c>
      <c r="AJ1319" s="1">
        <v>2016</v>
      </c>
      <c r="AK1319" s="1" t="s">
        <v>81</v>
      </c>
      <c r="AL1319" s="1">
        <v>111</v>
      </c>
    </row>
    <row r="1320" spans="1:38" x14ac:dyDescent="0.2">
      <c r="A1320" s="2" t="str">
        <f>HYPERLINK("https://www.compass.com/listing/91-leonard-street-unit-2e-manhattan-ny-10013/67908224891774289/","91 Leonard St, Unit 2E")</f>
        <v>91 Leonard St, Unit 2E</v>
      </c>
      <c r="B1320" s="2" t="str">
        <f t="shared" si="237"/>
        <v>91 Leonard</v>
      </c>
      <c r="C1320" s="1" t="s">
        <v>40</v>
      </c>
      <c r="D1320" s="1" t="s">
        <v>41</v>
      </c>
      <c r="E1320" s="3">
        <v>3375000</v>
      </c>
      <c r="F1320" s="1">
        <v>1794.2583732057401</v>
      </c>
      <c r="G1320" s="1">
        <v>4</v>
      </c>
      <c r="H1320" s="1">
        <v>2</v>
      </c>
      <c r="I1320" s="1">
        <v>3</v>
      </c>
      <c r="J1320" s="1">
        <v>2.5</v>
      </c>
      <c r="K1320" s="1">
        <v>2</v>
      </c>
      <c r="L1320" s="1">
        <v>1</v>
      </c>
      <c r="M1320" s="4">
        <v>1881</v>
      </c>
      <c r="N1320" s="1">
        <v>2611</v>
      </c>
      <c r="O1320" s="1">
        <v>6599</v>
      </c>
      <c r="P1320" s="1">
        <v>3988</v>
      </c>
      <c r="Q1320" s="1" t="s">
        <v>42</v>
      </c>
      <c r="S1320" s="1" t="s">
        <v>42</v>
      </c>
      <c r="T1320" s="1" t="s">
        <v>203</v>
      </c>
      <c r="V1320" s="5">
        <v>44314</v>
      </c>
      <c r="W1320" s="5">
        <v>43346</v>
      </c>
      <c r="X1320" s="1">
        <v>3375000</v>
      </c>
      <c r="Y1320" s="1">
        <v>3375000</v>
      </c>
      <c r="Z1320" s="5">
        <v>43346</v>
      </c>
      <c r="AA1320" s="1">
        <v>3375000</v>
      </c>
      <c r="AB1320" s="1" t="s">
        <v>1015</v>
      </c>
      <c r="AC1320" s="5">
        <v>43698</v>
      </c>
      <c r="AF1320" s="1">
        <v>10013</v>
      </c>
      <c r="AI1320" s="1" t="s">
        <v>103</v>
      </c>
      <c r="AJ1320" s="1">
        <v>2016</v>
      </c>
      <c r="AK1320" s="1" t="s">
        <v>81</v>
      </c>
      <c r="AL1320" s="1">
        <v>111</v>
      </c>
    </row>
    <row r="1321" spans="1:38" x14ac:dyDescent="0.2">
      <c r="A1321" s="2" t="str">
        <f>HYPERLINK("https://www.compass.com/listing/70-vestry-street-unit-5e-manhattan-ny-10013/10913847166654705/","70 Vestry St, Unit 5E")</f>
        <v>70 Vestry St, Unit 5E</v>
      </c>
      <c r="B1321" s="2" t="str">
        <f t="shared" ref="B1321:B1323" si="238">HYPERLINK("https://www.compass.com/building/70-vestry-st-manhattan-ny-10013/281921126949489413/","70 Vestry St")</f>
        <v>70 Vestry St</v>
      </c>
      <c r="C1321" s="1" t="s">
        <v>40</v>
      </c>
      <c r="D1321" s="1" t="s">
        <v>41</v>
      </c>
      <c r="E1321" s="3">
        <v>11357987</v>
      </c>
      <c r="F1321" s="1">
        <v>3830.6870151770599</v>
      </c>
      <c r="G1321" s="1">
        <v>5</v>
      </c>
      <c r="H1321" s="1">
        <v>3</v>
      </c>
      <c r="I1321" s="1">
        <v>4</v>
      </c>
      <c r="J1321" s="1">
        <v>3.5</v>
      </c>
      <c r="K1321" s="1">
        <v>3</v>
      </c>
      <c r="L1321" s="1">
        <v>1</v>
      </c>
      <c r="M1321" s="4">
        <v>2965</v>
      </c>
      <c r="N1321" s="1">
        <v>5000</v>
      </c>
      <c r="O1321" s="1">
        <v>10333</v>
      </c>
      <c r="P1321" s="1">
        <v>5333</v>
      </c>
      <c r="Q1321" s="1" t="s">
        <v>42</v>
      </c>
      <c r="S1321" s="1" t="s">
        <v>42</v>
      </c>
      <c r="T1321" s="1" t="s">
        <v>203</v>
      </c>
      <c r="U1321" s="1">
        <v>1</v>
      </c>
      <c r="V1321" s="5">
        <v>43808</v>
      </c>
      <c r="W1321" s="5">
        <v>43265</v>
      </c>
      <c r="X1321" s="1">
        <v>11150000</v>
      </c>
      <c r="Y1321" s="1">
        <v>11150000</v>
      </c>
      <c r="AA1321" s="1">
        <v>11357987</v>
      </c>
      <c r="AB1321" s="1" t="s">
        <v>1016</v>
      </c>
      <c r="AC1321" s="5">
        <v>43267</v>
      </c>
      <c r="AF1321" s="1">
        <v>10013</v>
      </c>
      <c r="AJ1321" s="1">
        <v>2018</v>
      </c>
      <c r="AK1321" s="1" t="s">
        <v>81</v>
      </c>
      <c r="AL1321" s="1">
        <v>46</v>
      </c>
    </row>
    <row r="1322" spans="1:38" x14ac:dyDescent="0.2">
      <c r="A1322" s="2" t="str">
        <f>HYPERLINK("https://www.compass.com/listing/70-vestry-street-unit-5d-manhattan-ny-10013/21054656776015649/","70 Vestry St, Unit 5D")</f>
        <v>70 Vestry St, Unit 5D</v>
      </c>
      <c r="B1322" s="2" t="str">
        <f t="shared" si="238"/>
        <v>70 Vestry St</v>
      </c>
      <c r="C1322" s="1" t="s">
        <v>40</v>
      </c>
      <c r="D1322" s="1" t="s">
        <v>41</v>
      </c>
      <c r="E1322" s="3">
        <v>11255500</v>
      </c>
      <c r="F1322" s="1">
        <v>4438.2886435331202</v>
      </c>
      <c r="G1322" s="1">
        <v>5</v>
      </c>
      <c r="H1322" s="1">
        <v>3</v>
      </c>
      <c r="I1322" s="1">
        <v>3</v>
      </c>
      <c r="J1322" s="1">
        <v>3.5</v>
      </c>
      <c r="K1322" s="1">
        <v>3</v>
      </c>
      <c r="L1322" s="1">
        <v>1</v>
      </c>
      <c r="M1322" s="4">
        <v>2536</v>
      </c>
      <c r="N1322" s="1">
        <v>4279</v>
      </c>
      <c r="O1322" s="1">
        <v>8843</v>
      </c>
      <c r="P1322" s="1">
        <v>4564</v>
      </c>
      <c r="Q1322" s="1" t="s">
        <v>42</v>
      </c>
      <c r="S1322" s="1" t="s">
        <v>42</v>
      </c>
      <c r="T1322" s="1" t="s">
        <v>203</v>
      </c>
      <c r="U1322" s="1">
        <v>1</v>
      </c>
      <c r="V1322" s="5">
        <v>43337</v>
      </c>
      <c r="W1322" s="5">
        <v>43264</v>
      </c>
      <c r="X1322" s="1">
        <v>9295000</v>
      </c>
      <c r="Y1322" s="1">
        <v>9295000</v>
      </c>
      <c r="AA1322" s="1">
        <v>11255500</v>
      </c>
      <c r="AB1322" s="1" t="s">
        <v>1017</v>
      </c>
      <c r="AC1322" s="5">
        <v>43448</v>
      </c>
      <c r="AF1322" s="1">
        <v>10013</v>
      </c>
      <c r="AI1322" s="1" t="s">
        <v>58</v>
      </c>
      <c r="AJ1322" s="1">
        <v>2018</v>
      </c>
      <c r="AK1322" s="1" t="s">
        <v>81</v>
      </c>
      <c r="AL1322" s="1">
        <v>46</v>
      </c>
    </row>
    <row r="1323" spans="1:38" x14ac:dyDescent="0.2">
      <c r="A1323" s="2" t="str">
        <f>HYPERLINK("https://www.compass.com/listing/70-vestry-street-unit-5f-manhattan-ny-10013/803303166519053681/","70 Vestry St, Unit 5F")</f>
        <v>70 Vestry St, Unit 5F</v>
      </c>
      <c r="B1323" s="2" t="str">
        <f t="shared" si="238"/>
        <v>70 Vestry St</v>
      </c>
      <c r="C1323" s="1" t="s">
        <v>40</v>
      </c>
      <c r="D1323" s="1" t="s">
        <v>41</v>
      </c>
      <c r="E1323" s="3">
        <v>7800500</v>
      </c>
      <c r="F1323" s="1">
        <v>3190.3885480572599</v>
      </c>
      <c r="G1323" s="1">
        <v>5</v>
      </c>
      <c r="H1323" s="1">
        <v>3</v>
      </c>
      <c r="I1323" s="1">
        <v>4</v>
      </c>
      <c r="J1323" s="1">
        <v>3.5</v>
      </c>
      <c r="K1323" s="1">
        <v>3</v>
      </c>
      <c r="L1323" s="1">
        <v>1</v>
      </c>
      <c r="M1323" s="4">
        <v>2445</v>
      </c>
      <c r="N1323" s="1">
        <v>4126</v>
      </c>
      <c r="O1323" s="1">
        <v>8527</v>
      </c>
      <c r="P1323" s="1">
        <v>4401</v>
      </c>
      <c r="Q1323" s="1" t="s">
        <v>42</v>
      </c>
      <c r="S1323" s="1" t="s">
        <v>42</v>
      </c>
      <c r="T1323" s="1" t="s">
        <v>203</v>
      </c>
      <c r="U1323" s="1">
        <v>769</v>
      </c>
      <c r="V1323" s="5">
        <v>43477</v>
      </c>
      <c r="W1323" s="5">
        <v>42496</v>
      </c>
      <c r="X1323" s="1">
        <v>7795000</v>
      </c>
      <c r="Y1323" s="1">
        <v>7800500</v>
      </c>
      <c r="AA1323" s="1">
        <v>7800500</v>
      </c>
      <c r="AB1323" s="1" t="s">
        <v>1018</v>
      </c>
      <c r="AC1323" s="5">
        <v>43265</v>
      </c>
      <c r="AF1323" s="1">
        <v>10013</v>
      </c>
      <c r="AJ1323" s="1">
        <v>2018</v>
      </c>
      <c r="AK1323" s="1" t="s">
        <v>81</v>
      </c>
      <c r="AL1323" s="1">
        <v>46</v>
      </c>
    </row>
    <row r="1324" spans="1:38" x14ac:dyDescent="0.2">
      <c r="A1324" s="2" t="str">
        <f>HYPERLINK("https://www.compass.com/listing/133-mulberry-street-unit-phd-manhattan-ny-10013/803369353592204993/","133 Mulberry St, Unit PHD")</f>
        <v>133 Mulberry St, Unit PHD</v>
      </c>
      <c r="B1324" s="2" t="str">
        <f>HYPERLINK("https://www.compass.com/building/133-mulberry-st-manhattan-ny-10013/281916941336083477/","133 Mulberry St")</f>
        <v>133 Mulberry St</v>
      </c>
      <c r="C1324" s="1" t="s">
        <v>135</v>
      </c>
      <c r="D1324" s="1" t="s">
        <v>41</v>
      </c>
      <c r="E1324" s="3">
        <v>2350000</v>
      </c>
      <c r="F1324" s="1">
        <v>1291.20879120879</v>
      </c>
      <c r="G1324" s="1">
        <v>5</v>
      </c>
      <c r="H1324" s="1">
        <v>3</v>
      </c>
      <c r="I1324" s="1">
        <v>2</v>
      </c>
      <c r="J1324" s="1">
        <v>2</v>
      </c>
      <c r="M1324" s="4">
        <v>1820</v>
      </c>
      <c r="N1324" s="1">
        <v>1213</v>
      </c>
      <c r="O1324" s="1">
        <v>3435</v>
      </c>
      <c r="P1324" s="1">
        <v>2222</v>
      </c>
      <c r="Q1324" s="1" t="s">
        <v>42</v>
      </c>
      <c r="S1324" s="1" t="s">
        <v>42</v>
      </c>
      <c r="T1324" s="1" t="s">
        <v>203</v>
      </c>
      <c r="U1324" s="1">
        <v>320</v>
      </c>
      <c r="V1324" s="5">
        <v>43439</v>
      </c>
      <c r="W1324" s="5">
        <v>43053</v>
      </c>
      <c r="X1324" s="1">
        <v>2850000</v>
      </c>
      <c r="Y1324" s="1">
        <v>2895000</v>
      </c>
      <c r="Z1324" s="5">
        <v>43420</v>
      </c>
      <c r="AA1324" s="1">
        <v>2350000</v>
      </c>
      <c r="AB1324" s="1" t="s">
        <v>204</v>
      </c>
      <c r="AC1324" s="5">
        <v>43433</v>
      </c>
      <c r="AF1324" s="1">
        <v>10013</v>
      </c>
      <c r="AI1324" s="1" t="s">
        <v>971</v>
      </c>
      <c r="AJ1324" s="1">
        <v>1893</v>
      </c>
      <c r="AK1324" s="1" t="s">
        <v>972</v>
      </c>
      <c r="AL1324" s="1">
        <v>18</v>
      </c>
    </row>
    <row r="1325" spans="1:38" x14ac:dyDescent="0.2">
      <c r="A1325" s="2" t="str">
        <f>HYPERLINK("https://www.compass.com/listing/91-leonard-street-unit-6a-manhattan-ny-10013/248551224327048209/","91 Leonard St, Unit 6A")</f>
        <v>91 Leonard St, Unit 6A</v>
      </c>
      <c r="B1325" s="2" t="str">
        <f t="shared" ref="B1325:B1329" si="239">HYPERLINK("https://www.compass.com/building/91-leonard-manhattan-ny/282058661633754165/","91 Leonard")</f>
        <v>91 Leonard</v>
      </c>
      <c r="C1325" s="1" t="s">
        <v>40</v>
      </c>
      <c r="D1325" s="1" t="s">
        <v>41</v>
      </c>
      <c r="E1325" s="3">
        <v>2628200</v>
      </c>
      <c r="F1325" s="1">
        <v>1769.8316498316401</v>
      </c>
      <c r="G1325" s="1">
        <v>3.5</v>
      </c>
      <c r="H1325" s="1">
        <v>2</v>
      </c>
      <c r="I1325" s="1">
        <v>3</v>
      </c>
      <c r="J1325" s="1">
        <v>2.5</v>
      </c>
      <c r="K1325" s="1">
        <v>2</v>
      </c>
      <c r="L1325" s="1">
        <v>1</v>
      </c>
      <c r="M1325" s="4">
        <v>1485</v>
      </c>
      <c r="N1325" s="1">
        <v>1797</v>
      </c>
      <c r="O1325" s="1">
        <v>4542</v>
      </c>
      <c r="P1325" s="1">
        <v>2745</v>
      </c>
      <c r="Q1325" s="1" t="s">
        <v>42</v>
      </c>
      <c r="S1325" s="1" t="s">
        <v>42</v>
      </c>
      <c r="T1325" s="1" t="s">
        <v>203</v>
      </c>
      <c r="U1325" s="1">
        <v>132</v>
      </c>
      <c r="V1325" s="5">
        <v>44314</v>
      </c>
      <c r="W1325" s="5">
        <v>43595</v>
      </c>
      <c r="X1325" s="1">
        <v>2670000</v>
      </c>
      <c r="Y1325" s="1">
        <v>2670000</v>
      </c>
      <c r="Z1325" s="5">
        <v>43728</v>
      </c>
      <c r="AA1325" s="1">
        <v>2628200</v>
      </c>
      <c r="AB1325" s="1" t="s">
        <v>1019</v>
      </c>
      <c r="AC1325" s="5">
        <v>43749</v>
      </c>
      <c r="AF1325" s="1">
        <v>10013</v>
      </c>
      <c r="AI1325" s="1" t="s">
        <v>103</v>
      </c>
      <c r="AJ1325" s="1">
        <v>2016</v>
      </c>
      <c r="AK1325" s="1" t="s">
        <v>81</v>
      </c>
      <c r="AL1325" s="1">
        <v>111</v>
      </c>
    </row>
    <row r="1326" spans="1:38" x14ac:dyDescent="0.2">
      <c r="A1326" s="2" t="str">
        <f>HYPERLINK("https://www.compass.com/listing/91-leonard-street-unit-3g-manhattan-ny-10013/319380667334562321/","91 Leonard St, Unit 3G")</f>
        <v>91 Leonard St, Unit 3G</v>
      </c>
      <c r="B1326" s="2" t="str">
        <f t="shared" si="239"/>
        <v>91 Leonard</v>
      </c>
      <c r="C1326" s="1" t="s">
        <v>40</v>
      </c>
      <c r="D1326" s="1" t="s">
        <v>41</v>
      </c>
      <c r="E1326" s="3">
        <v>2199000</v>
      </c>
      <c r="F1326" s="1">
        <v>1313.6200716845799</v>
      </c>
      <c r="G1326" s="1">
        <v>3.5</v>
      </c>
      <c r="H1326" s="1">
        <v>2</v>
      </c>
      <c r="I1326" s="1">
        <v>3</v>
      </c>
      <c r="J1326" s="1">
        <v>2.5</v>
      </c>
      <c r="K1326" s="1">
        <v>2</v>
      </c>
      <c r="L1326" s="1">
        <v>1</v>
      </c>
      <c r="M1326" s="4">
        <v>1674</v>
      </c>
      <c r="N1326" s="1">
        <v>2027</v>
      </c>
      <c r="O1326" s="1">
        <v>5123</v>
      </c>
      <c r="P1326" s="1">
        <v>3096</v>
      </c>
      <c r="Q1326" s="1" t="s">
        <v>42</v>
      </c>
      <c r="S1326" s="1" t="s">
        <v>42</v>
      </c>
      <c r="T1326" s="1" t="s">
        <v>203</v>
      </c>
      <c r="U1326" s="1">
        <v>307</v>
      </c>
      <c r="V1326" s="5">
        <v>44314</v>
      </c>
      <c r="W1326" s="5">
        <v>43692</v>
      </c>
      <c r="X1326" s="1">
        <v>2570000</v>
      </c>
      <c r="Y1326" s="1">
        <v>2570000</v>
      </c>
      <c r="AA1326" s="1">
        <v>2199000</v>
      </c>
      <c r="AB1326" s="1" t="s">
        <v>1020</v>
      </c>
      <c r="AC1326" s="5">
        <v>44159</v>
      </c>
      <c r="AF1326" s="1">
        <v>10013</v>
      </c>
      <c r="AI1326" s="1" t="s">
        <v>103</v>
      </c>
      <c r="AJ1326" s="1">
        <v>2016</v>
      </c>
      <c r="AK1326" s="1" t="s">
        <v>81</v>
      </c>
      <c r="AL1326" s="1">
        <v>111</v>
      </c>
    </row>
    <row r="1327" spans="1:38" x14ac:dyDescent="0.2">
      <c r="A1327" s="2" t="str">
        <f>HYPERLINK("https://www.compass.com/listing/91-leonard-street-unit-5g-manhattan-ny-10013/34689471018457809/","91 Leonard St, Unit 5G")</f>
        <v>91 Leonard St, Unit 5G</v>
      </c>
      <c r="B1327" s="2" t="str">
        <f t="shared" si="239"/>
        <v>91 Leonard</v>
      </c>
      <c r="C1327" s="1" t="s">
        <v>40</v>
      </c>
      <c r="D1327" s="1" t="s">
        <v>41</v>
      </c>
      <c r="E1327" s="3">
        <v>2660000</v>
      </c>
      <c r="F1327" s="1">
        <v>1589.00836320191</v>
      </c>
      <c r="G1327" s="1">
        <v>4</v>
      </c>
      <c r="H1327" s="1">
        <v>2</v>
      </c>
      <c r="I1327" s="1">
        <v>3</v>
      </c>
      <c r="J1327" s="1">
        <v>2.5</v>
      </c>
      <c r="K1327" s="1">
        <v>2</v>
      </c>
      <c r="L1327" s="1">
        <v>1</v>
      </c>
      <c r="M1327" s="4">
        <v>1674</v>
      </c>
      <c r="N1327" s="1">
        <v>2032</v>
      </c>
      <c r="O1327" s="1">
        <v>5135</v>
      </c>
      <c r="P1327" s="1">
        <v>3103</v>
      </c>
      <c r="Q1327" s="1" t="s">
        <v>42</v>
      </c>
      <c r="S1327" s="1" t="s">
        <v>42</v>
      </c>
      <c r="T1327" s="1" t="s">
        <v>203</v>
      </c>
      <c r="U1327" s="1">
        <v>731</v>
      </c>
      <c r="V1327" s="5">
        <v>44314</v>
      </c>
      <c r="W1327" s="5">
        <v>43155</v>
      </c>
      <c r="X1327" s="1">
        <v>2650000</v>
      </c>
      <c r="Y1327" s="1">
        <v>2650000</v>
      </c>
      <c r="Z1327" s="5">
        <v>43887</v>
      </c>
      <c r="AA1327" s="1">
        <v>2660000</v>
      </c>
      <c r="AB1327" s="1" t="s">
        <v>1021</v>
      </c>
      <c r="AC1327" s="5">
        <v>43966</v>
      </c>
      <c r="AF1327" s="1">
        <v>10013</v>
      </c>
      <c r="AI1327" s="1" t="s">
        <v>103</v>
      </c>
      <c r="AJ1327" s="1">
        <v>2016</v>
      </c>
      <c r="AK1327" s="1" t="s">
        <v>81</v>
      </c>
      <c r="AL1327" s="1">
        <v>111</v>
      </c>
    </row>
    <row r="1328" spans="1:38" x14ac:dyDescent="0.2">
      <c r="A1328" s="2" t="str">
        <f>HYPERLINK("https://www.compass.com/listing/91-leonard-street-unit-6c-manhattan-ny-10013/34689606444147345/","91 Leonard St, Unit 6C")</f>
        <v>91 Leonard St, Unit 6C</v>
      </c>
      <c r="B1328" s="2" t="str">
        <f t="shared" si="239"/>
        <v>91 Leonard</v>
      </c>
      <c r="C1328" s="1" t="s">
        <v>40</v>
      </c>
      <c r="D1328" s="1" t="s">
        <v>41</v>
      </c>
      <c r="E1328" s="3">
        <v>2605000</v>
      </c>
      <c r="F1328" s="1">
        <v>1721.7448777263701</v>
      </c>
      <c r="G1328" s="1">
        <v>4</v>
      </c>
      <c r="H1328" s="1">
        <v>2</v>
      </c>
      <c r="I1328" s="1">
        <v>3</v>
      </c>
      <c r="J1328" s="1">
        <v>2.5</v>
      </c>
      <c r="K1328" s="1">
        <v>2</v>
      </c>
      <c r="L1328" s="1">
        <v>1</v>
      </c>
      <c r="M1328" s="4">
        <v>1513</v>
      </c>
      <c r="N1328" s="1">
        <v>1832</v>
      </c>
      <c r="O1328" s="1">
        <v>4630</v>
      </c>
      <c r="P1328" s="1">
        <v>2798</v>
      </c>
      <c r="Q1328" s="1" t="s">
        <v>42</v>
      </c>
      <c r="S1328" s="1" t="s">
        <v>42</v>
      </c>
      <c r="T1328" s="1" t="s">
        <v>203</v>
      </c>
      <c r="U1328" s="1">
        <v>203</v>
      </c>
      <c r="V1328" s="5">
        <v>44314</v>
      </c>
      <c r="W1328" s="5">
        <v>43658</v>
      </c>
      <c r="Y1328" s="1">
        <v>2630000</v>
      </c>
      <c r="Z1328" s="5">
        <v>43300</v>
      </c>
      <c r="AA1328" s="1">
        <v>2605000</v>
      </c>
      <c r="AB1328" s="1" t="s">
        <v>1022</v>
      </c>
      <c r="AC1328" s="5">
        <v>43861</v>
      </c>
      <c r="AF1328" s="1">
        <v>10013</v>
      </c>
      <c r="AI1328" s="1" t="s">
        <v>998</v>
      </c>
      <c r="AJ1328" s="1">
        <v>2016</v>
      </c>
      <c r="AK1328" s="1" t="s">
        <v>81</v>
      </c>
      <c r="AL1328" s="1">
        <v>111</v>
      </c>
    </row>
    <row r="1329" spans="1:38" x14ac:dyDescent="0.2">
      <c r="A1329" s="2" t="str">
        <f>HYPERLINK("https://www.compass.com/listing/91-leonard-street-unit-4g-manhattan-ny-10013/375960898067046113/","91 Leonard St, Unit 4G")</f>
        <v>91 Leonard St, Unit 4G</v>
      </c>
      <c r="B1329" s="2" t="str">
        <f t="shared" si="239"/>
        <v>91 Leonard</v>
      </c>
      <c r="C1329" s="1" t="s">
        <v>40</v>
      </c>
      <c r="D1329" s="1" t="s">
        <v>41</v>
      </c>
      <c r="E1329" s="3">
        <v>2643900</v>
      </c>
      <c r="F1329" s="1">
        <v>1579.3906810035801</v>
      </c>
      <c r="G1329" s="1">
        <v>3.5</v>
      </c>
      <c r="H1329" s="1">
        <v>2</v>
      </c>
      <c r="I1329" s="1">
        <v>3</v>
      </c>
      <c r="J1329" s="1">
        <v>2.5</v>
      </c>
      <c r="K1329" s="1">
        <v>2</v>
      </c>
      <c r="L1329" s="1">
        <v>1</v>
      </c>
      <c r="M1329" s="4">
        <v>1674</v>
      </c>
      <c r="N1329" s="1">
        <v>2027</v>
      </c>
      <c r="O1329" s="1">
        <v>5123</v>
      </c>
      <c r="P1329" s="1">
        <v>3096</v>
      </c>
      <c r="Q1329" s="1" t="s">
        <v>42</v>
      </c>
      <c r="S1329" s="1" t="s">
        <v>42</v>
      </c>
      <c r="T1329" s="1" t="s">
        <v>203</v>
      </c>
      <c r="U1329" s="1">
        <v>281</v>
      </c>
      <c r="V1329" s="5">
        <v>44314</v>
      </c>
      <c r="W1329" s="5">
        <v>43771</v>
      </c>
      <c r="X1329" s="1">
        <v>2620000</v>
      </c>
      <c r="Y1329" s="1">
        <v>2650000</v>
      </c>
      <c r="Z1329" s="5">
        <v>43885</v>
      </c>
      <c r="AA1329" s="1">
        <v>2643900</v>
      </c>
      <c r="AB1329" s="1" t="s">
        <v>1023</v>
      </c>
      <c r="AC1329" s="5">
        <v>44207</v>
      </c>
      <c r="AF1329" s="1">
        <v>10013</v>
      </c>
      <c r="AI1329" s="1" t="s">
        <v>103</v>
      </c>
      <c r="AJ1329" s="1">
        <v>2016</v>
      </c>
      <c r="AK1329" s="1" t="s">
        <v>81</v>
      </c>
      <c r="AL1329" s="1">
        <v>111</v>
      </c>
    </row>
    <row r="1330" spans="1:38" x14ac:dyDescent="0.2">
      <c r="A1330" s="2" t="str">
        <f>HYPERLINK("https://www.compass.com/listing/133-mulberry-street-unit-2a-manhattan-ny-10013/70911879358265297/","133 Mulberry St, Unit 2A")</f>
        <v>133 Mulberry St, Unit 2A</v>
      </c>
      <c r="B1330" s="2" t="str">
        <f>HYPERLINK("https://www.compass.com/building/133-mulberry-st-manhattan-ny-10013/281916941336083477/","133 Mulberry St")</f>
        <v>133 Mulberry St</v>
      </c>
      <c r="C1330" s="1" t="s">
        <v>135</v>
      </c>
      <c r="D1330" s="1" t="s">
        <v>41</v>
      </c>
      <c r="E1330" s="3">
        <v>3510000</v>
      </c>
      <c r="F1330" s="1">
        <v>1063.31414722811</v>
      </c>
      <c r="G1330" s="1">
        <v>4</v>
      </c>
      <c r="H1330" s="1">
        <v>2</v>
      </c>
      <c r="I1330" s="1">
        <v>2</v>
      </c>
      <c r="J1330" s="1">
        <v>2</v>
      </c>
      <c r="K1330" s="1">
        <v>2</v>
      </c>
      <c r="M1330" s="4">
        <v>3301</v>
      </c>
      <c r="N1330" s="1">
        <v>2486</v>
      </c>
      <c r="O1330" s="1">
        <v>5950</v>
      </c>
      <c r="P1330" s="1">
        <v>3464</v>
      </c>
      <c r="Q1330" s="1" t="s">
        <v>42</v>
      </c>
      <c r="S1330" s="1" t="s">
        <v>42</v>
      </c>
      <c r="T1330" s="1" t="s">
        <v>203</v>
      </c>
      <c r="U1330" s="1">
        <v>163</v>
      </c>
      <c r="V1330" s="5">
        <v>43630</v>
      </c>
      <c r="W1330" s="5">
        <v>42543</v>
      </c>
      <c r="X1330" s="1">
        <v>3650000</v>
      </c>
      <c r="Y1330" s="1">
        <v>3650000</v>
      </c>
      <c r="Z1330" s="5">
        <v>42706</v>
      </c>
      <c r="AA1330" s="1">
        <v>3510000</v>
      </c>
      <c r="AB1330" s="1" t="s">
        <v>1024</v>
      </c>
      <c r="AC1330" s="5">
        <v>42765</v>
      </c>
      <c r="AF1330" s="1">
        <v>10013</v>
      </c>
      <c r="AI1330" s="1" t="s">
        <v>971</v>
      </c>
      <c r="AJ1330" s="1">
        <v>1893</v>
      </c>
      <c r="AK1330" s="1" t="s">
        <v>137</v>
      </c>
      <c r="AL1330" s="1">
        <v>18</v>
      </c>
    </row>
    <row r="1331" spans="1:38" x14ac:dyDescent="0.2">
      <c r="A1331" s="2" t="str">
        <f>HYPERLINK("https://www.compass.com/listing/91-leonard-street-unit-4b-manhattan-ny-10013/34689473937795217/","91 Leonard St, Unit 4B")</f>
        <v>91 Leonard St, Unit 4B</v>
      </c>
      <c r="B1331" s="2" t="str">
        <f t="shared" ref="B1331:B1346" si="240">HYPERLINK("https://www.compass.com/building/91-leonard-manhattan-ny/282058661633754165/","91 Leonard")</f>
        <v>91 Leonard</v>
      </c>
      <c r="C1331" s="1" t="s">
        <v>40</v>
      </c>
      <c r="D1331" s="1" t="s">
        <v>41</v>
      </c>
      <c r="E1331" s="3">
        <v>1607002</v>
      </c>
      <c r="F1331" s="1">
        <v>1845.00820895522</v>
      </c>
      <c r="G1331" s="1">
        <v>3</v>
      </c>
      <c r="H1331" s="1">
        <v>1</v>
      </c>
      <c r="I1331" s="1">
        <v>2</v>
      </c>
      <c r="J1331" s="1">
        <v>1.5</v>
      </c>
      <c r="K1331" s="1">
        <v>1</v>
      </c>
      <c r="L1331" s="1">
        <v>1</v>
      </c>
      <c r="M1331" s="1">
        <v>871</v>
      </c>
      <c r="N1331" s="1">
        <v>1028</v>
      </c>
      <c r="O1331" s="1">
        <v>2599</v>
      </c>
      <c r="P1331" s="1">
        <v>1571</v>
      </c>
      <c r="Q1331" s="1" t="s">
        <v>42</v>
      </c>
      <c r="S1331" s="1" t="s">
        <v>42</v>
      </c>
      <c r="T1331" s="1" t="s">
        <v>203</v>
      </c>
      <c r="U1331" s="1">
        <v>223</v>
      </c>
      <c r="V1331" s="5">
        <v>44314</v>
      </c>
      <c r="W1331" s="5">
        <v>43076</v>
      </c>
      <c r="X1331" s="1">
        <v>1575000</v>
      </c>
      <c r="Y1331" s="1">
        <v>1575000</v>
      </c>
      <c r="Z1331" s="5">
        <v>43300</v>
      </c>
      <c r="AA1331" s="1">
        <v>1607002.15</v>
      </c>
      <c r="AB1331" s="1" t="s">
        <v>1025</v>
      </c>
      <c r="AC1331" s="5">
        <v>43760</v>
      </c>
      <c r="AF1331" s="1">
        <v>10013</v>
      </c>
      <c r="AI1331" s="1" t="s">
        <v>103</v>
      </c>
      <c r="AJ1331" s="1">
        <v>2016</v>
      </c>
      <c r="AK1331" s="1" t="s">
        <v>81</v>
      </c>
      <c r="AL1331" s="1">
        <v>111</v>
      </c>
    </row>
    <row r="1332" spans="1:38" x14ac:dyDescent="0.2">
      <c r="A1332" s="2" t="str">
        <f>HYPERLINK("https://www.compass.com/listing/91-leonard-street-unit-6b-manhattan-ny-10013/34689479759460097/","91 Leonard St, Unit 6B")</f>
        <v>91 Leonard St, Unit 6B</v>
      </c>
      <c r="B1332" s="2" t="str">
        <f t="shared" si="240"/>
        <v>91 Leonard</v>
      </c>
      <c r="C1332" s="1" t="s">
        <v>40</v>
      </c>
      <c r="D1332" s="1" t="s">
        <v>41</v>
      </c>
      <c r="E1332" s="3">
        <v>1500086</v>
      </c>
      <c r="F1332" s="1">
        <v>1722.2570608495901</v>
      </c>
      <c r="G1332" s="1">
        <v>3</v>
      </c>
      <c r="H1332" s="1">
        <v>1</v>
      </c>
      <c r="I1332" s="1">
        <v>2</v>
      </c>
      <c r="J1332" s="1">
        <v>1.5</v>
      </c>
      <c r="K1332" s="1">
        <v>1</v>
      </c>
      <c r="L1332" s="1">
        <v>1</v>
      </c>
      <c r="M1332" s="1">
        <v>871</v>
      </c>
      <c r="N1332" s="1">
        <v>1033</v>
      </c>
      <c r="O1332" s="1">
        <v>2611</v>
      </c>
      <c r="P1332" s="1">
        <v>1578</v>
      </c>
      <c r="Q1332" s="1" t="s">
        <v>42</v>
      </c>
      <c r="S1332" s="1" t="s">
        <v>42</v>
      </c>
      <c r="T1332" s="1" t="s">
        <v>203</v>
      </c>
      <c r="U1332" s="1">
        <v>223</v>
      </c>
      <c r="V1332" s="5">
        <v>44314</v>
      </c>
      <c r="W1332" s="5">
        <v>43076</v>
      </c>
      <c r="X1332" s="1">
        <v>1595000</v>
      </c>
      <c r="Y1332" s="1">
        <v>1595000</v>
      </c>
      <c r="Z1332" s="5">
        <v>43300</v>
      </c>
      <c r="AA1332" s="1">
        <v>1500085.9</v>
      </c>
      <c r="AB1332" s="1" t="s">
        <v>1026</v>
      </c>
      <c r="AC1332" s="5">
        <v>43735</v>
      </c>
      <c r="AF1332" s="1">
        <v>10013</v>
      </c>
      <c r="AI1332" s="1" t="s">
        <v>103</v>
      </c>
      <c r="AJ1332" s="1">
        <v>2016</v>
      </c>
      <c r="AK1332" s="1" t="s">
        <v>81</v>
      </c>
      <c r="AL1332" s="1">
        <v>111</v>
      </c>
    </row>
    <row r="1333" spans="1:38" x14ac:dyDescent="0.2">
      <c r="A1333" s="2" t="str">
        <f>HYPERLINK("https://www.compass.com/listing/91-leonard-street-unit-8g-manhattan-ny-10013/34689484482173857/","91 Leonard St, Unit 8G")</f>
        <v>91 Leonard St, Unit 8G</v>
      </c>
      <c r="B1333" s="2" t="str">
        <f t="shared" si="240"/>
        <v>91 Leonard</v>
      </c>
      <c r="C1333" s="1" t="s">
        <v>40</v>
      </c>
      <c r="D1333" s="1" t="s">
        <v>41</v>
      </c>
      <c r="E1333" s="3">
        <v>1403200</v>
      </c>
      <c r="F1333" s="1">
        <v>1581.9616685456499</v>
      </c>
      <c r="G1333" s="1">
        <v>3</v>
      </c>
      <c r="H1333" s="1">
        <v>1</v>
      </c>
      <c r="I1333" s="1">
        <v>2</v>
      </c>
      <c r="J1333" s="1">
        <v>1.5</v>
      </c>
      <c r="K1333" s="1">
        <v>1</v>
      </c>
      <c r="L1333" s="1">
        <v>1</v>
      </c>
      <c r="M1333" s="1">
        <v>887</v>
      </c>
      <c r="N1333" s="1">
        <v>1062</v>
      </c>
      <c r="O1333" s="1">
        <v>2702</v>
      </c>
      <c r="P1333" s="1">
        <v>1640</v>
      </c>
      <c r="Q1333" s="1" t="s">
        <v>42</v>
      </c>
      <c r="S1333" s="1" t="s">
        <v>42</v>
      </c>
      <c r="T1333" s="1" t="s">
        <v>203</v>
      </c>
      <c r="V1333" s="5">
        <v>44314</v>
      </c>
      <c r="W1333" s="5">
        <v>43315</v>
      </c>
      <c r="X1333" s="1">
        <v>1400000</v>
      </c>
      <c r="Y1333" s="1">
        <v>1400000</v>
      </c>
      <c r="Z1333" s="5">
        <v>43315</v>
      </c>
      <c r="AA1333" s="1">
        <v>1403200</v>
      </c>
      <c r="AB1333" s="1" t="s">
        <v>1027</v>
      </c>
      <c r="AC1333" s="5">
        <v>43762</v>
      </c>
      <c r="AF1333" s="1">
        <v>10013</v>
      </c>
      <c r="AI1333" s="1" t="s">
        <v>103</v>
      </c>
      <c r="AJ1333" s="1">
        <v>2016</v>
      </c>
      <c r="AK1333" s="1" t="s">
        <v>81</v>
      </c>
      <c r="AL1333" s="1">
        <v>111</v>
      </c>
    </row>
    <row r="1334" spans="1:38" x14ac:dyDescent="0.2">
      <c r="A1334" s="2" t="str">
        <f>HYPERLINK("https://www.compass.com/listing/91-leonard-street-unit-4h-manhattan-ny-10013/34689484859661249/","91 Leonard St, Unit 4H")</f>
        <v>91 Leonard St, Unit 4H</v>
      </c>
      <c r="B1334" s="2" t="str">
        <f t="shared" si="240"/>
        <v>91 Leonard</v>
      </c>
      <c r="C1334" s="1" t="s">
        <v>40</v>
      </c>
      <c r="D1334" s="1" t="s">
        <v>41</v>
      </c>
      <c r="E1334" s="3">
        <v>1459356</v>
      </c>
      <c r="F1334" s="1">
        <v>1579.3895021645001</v>
      </c>
      <c r="G1334" s="1">
        <v>3</v>
      </c>
      <c r="H1334" s="1">
        <v>1</v>
      </c>
      <c r="I1334" s="1">
        <v>2</v>
      </c>
      <c r="J1334" s="1">
        <v>1.5</v>
      </c>
      <c r="K1334" s="1">
        <v>1</v>
      </c>
      <c r="L1334" s="1">
        <v>1</v>
      </c>
      <c r="M1334" s="1">
        <v>924</v>
      </c>
      <c r="N1334" s="1">
        <v>1094</v>
      </c>
      <c r="O1334" s="1">
        <v>2766</v>
      </c>
      <c r="P1334" s="1">
        <v>1672</v>
      </c>
      <c r="Q1334" s="1" t="s">
        <v>42</v>
      </c>
      <c r="S1334" s="1" t="s">
        <v>42</v>
      </c>
      <c r="T1334" s="1" t="s">
        <v>203</v>
      </c>
      <c r="U1334" s="1">
        <v>111</v>
      </c>
      <c r="V1334" s="5">
        <v>44314</v>
      </c>
      <c r="W1334" s="5">
        <v>43188</v>
      </c>
      <c r="X1334" s="1">
        <v>1430000</v>
      </c>
      <c r="Y1334" s="1">
        <v>1430000</v>
      </c>
      <c r="Z1334" s="5">
        <v>43300</v>
      </c>
      <c r="AA1334" s="1">
        <v>1459355.9</v>
      </c>
      <c r="AB1334" s="1" t="s">
        <v>1028</v>
      </c>
      <c r="AC1334" s="5">
        <v>43868</v>
      </c>
      <c r="AF1334" s="1">
        <v>10013</v>
      </c>
      <c r="AI1334" s="1" t="s">
        <v>103</v>
      </c>
      <c r="AJ1334" s="1">
        <v>2016</v>
      </c>
      <c r="AK1334" s="1" t="s">
        <v>81</v>
      </c>
      <c r="AL1334" s="1">
        <v>111</v>
      </c>
    </row>
    <row r="1335" spans="1:38" x14ac:dyDescent="0.2">
      <c r="A1335" s="2" t="str">
        <f>HYPERLINK("https://www.compass.com/listing/91-leonard-street-unit-2b-manhattan-ny-10013/34689485438475281/","91 Leonard St, Unit 2B")</f>
        <v>91 Leonard St, Unit 2B</v>
      </c>
      <c r="B1335" s="2" t="str">
        <f t="shared" si="240"/>
        <v>91 Leonard</v>
      </c>
      <c r="C1335" s="1" t="s">
        <v>40</v>
      </c>
      <c r="D1335" s="1" t="s">
        <v>41</v>
      </c>
      <c r="E1335" s="3">
        <v>1556090</v>
      </c>
      <c r="F1335" s="1">
        <v>1863.5804191616701</v>
      </c>
      <c r="G1335" s="1">
        <v>2</v>
      </c>
      <c r="H1335" s="1">
        <v>1</v>
      </c>
      <c r="I1335" s="1">
        <v>2</v>
      </c>
      <c r="J1335" s="1">
        <v>1.5</v>
      </c>
      <c r="K1335" s="1">
        <v>1</v>
      </c>
      <c r="L1335" s="1">
        <v>1</v>
      </c>
      <c r="M1335" s="1">
        <v>835</v>
      </c>
      <c r="N1335" s="1">
        <v>989</v>
      </c>
      <c r="O1335" s="1">
        <v>2492</v>
      </c>
      <c r="P1335" s="1">
        <v>1503</v>
      </c>
      <c r="Q1335" s="1" t="s">
        <v>42</v>
      </c>
      <c r="S1335" s="1" t="s">
        <v>42</v>
      </c>
      <c r="T1335" s="1" t="s">
        <v>203</v>
      </c>
      <c r="U1335" s="1">
        <v>226</v>
      </c>
      <c r="V1335" s="5">
        <v>44314</v>
      </c>
      <c r="W1335" s="5">
        <v>43073</v>
      </c>
      <c r="X1335" s="1">
        <v>1525000</v>
      </c>
      <c r="Y1335" s="1">
        <v>1525000</v>
      </c>
      <c r="Z1335" s="5">
        <v>43300</v>
      </c>
      <c r="AA1335" s="1">
        <v>1556089.65</v>
      </c>
      <c r="AB1335" s="1" t="s">
        <v>1029</v>
      </c>
      <c r="AC1335" s="5">
        <v>43721</v>
      </c>
      <c r="AF1335" s="1">
        <v>10013</v>
      </c>
      <c r="AI1335" s="1" t="s">
        <v>103</v>
      </c>
      <c r="AJ1335" s="1">
        <v>2016</v>
      </c>
      <c r="AK1335" s="1" t="s">
        <v>81</v>
      </c>
      <c r="AL1335" s="1">
        <v>111</v>
      </c>
    </row>
    <row r="1336" spans="1:38" x14ac:dyDescent="0.2">
      <c r="A1336" s="2" t="str">
        <f>HYPERLINK("https://www.compass.com/listing/91-leonard-street-unit-2a-manhattan-ny-10013/34689486654925105/","91 Leonard St, Unit 2A")</f>
        <v>91 Leonard St, Unit 2A</v>
      </c>
      <c r="B1336" s="2" t="str">
        <f t="shared" si="240"/>
        <v>91 Leonard</v>
      </c>
      <c r="C1336" s="1" t="s">
        <v>40</v>
      </c>
      <c r="D1336" s="1" t="s">
        <v>41</v>
      </c>
      <c r="E1336" s="3">
        <v>1654656</v>
      </c>
      <c r="F1336" s="1">
        <v>1651.3532934131699</v>
      </c>
      <c r="G1336" s="1">
        <v>2</v>
      </c>
      <c r="H1336" s="1">
        <v>1</v>
      </c>
      <c r="I1336" s="1">
        <v>2</v>
      </c>
      <c r="J1336" s="1">
        <v>1.5</v>
      </c>
      <c r="K1336" s="1">
        <v>1</v>
      </c>
      <c r="L1336" s="1">
        <v>1</v>
      </c>
      <c r="M1336" s="4">
        <v>1002</v>
      </c>
      <c r="N1336" s="1">
        <v>1191</v>
      </c>
      <c r="O1336" s="1">
        <v>3011</v>
      </c>
      <c r="P1336" s="1">
        <v>1820</v>
      </c>
      <c r="Q1336" s="1" t="s">
        <v>42</v>
      </c>
      <c r="S1336" s="1" t="s">
        <v>42</v>
      </c>
      <c r="T1336" s="1" t="s">
        <v>203</v>
      </c>
      <c r="U1336" s="1">
        <v>225</v>
      </c>
      <c r="V1336" s="5">
        <v>44314</v>
      </c>
      <c r="W1336" s="5">
        <v>43074</v>
      </c>
      <c r="X1336" s="1">
        <v>1625000</v>
      </c>
      <c r="Y1336" s="1">
        <v>1625000</v>
      </c>
      <c r="Z1336" s="5">
        <v>43299</v>
      </c>
      <c r="AA1336" s="1">
        <v>1654656</v>
      </c>
      <c r="AB1336" s="1" t="s">
        <v>1030</v>
      </c>
      <c r="AC1336" s="5">
        <v>43704</v>
      </c>
      <c r="AF1336" s="1">
        <v>10013</v>
      </c>
      <c r="AI1336" s="1" t="s">
        <v>103</v>
      </c>
      <c r="AJ1336" s="1">
        <v>2016</v>
      </c>
      <c r="AK1336" s="1" t="s">
        <v>81</v>
      </c>
      <c r="AL1336" s="1">
        <v>111</v>
      </c>
    </row>
    <row r="1337" spans="1:38" x14ac:dyDescent="0.2">
      <c r="A1337" s="2" t="str">
        <f>HYPERLINK("https://www.compass.com/listing/91-leonard-street-unit-6e-manhattan-ny-10013/34689487158241649/","91 Leonard St, Unit 6E")</f>
        <v>91 Leonard St, Unit 6E</v>
      </c>
      <c r="B1337" s="2" t="str">
        <f t="shared" si="240"/>
        <v>91 Leonard</v>
      </c>
      <c r="C1337" s="1" t="s">
        <v>40</v>
      </c>
      <c r="D1337" s="1" t="s">
        <v>41</v>
      </c>
      <c r="E1337" s="3">
        <v>1398261</v>
      </c>
      <c r="F1337" s="1">
        <v>1564.05022371364</v>
      </c>
      <c r="G1337" s="1">
        <v>3</v>
      </c>
      <c r="H1337" s="1">
        <v>1</v>
      </c>
      <c r="I1337" s="1">
        <v>2</v>
      </c>
      <c r="J1337" s="1">
        <v>1.5</v>
      </c>
      <c r="K1337" s="1">
        <v>1</v>
      </c>
      <c r="L1337" s="1">
        <v>1</v>
      </c>
      <c r="M1337" s="1">
        <v>894</v>
      </c>
      <c r="N1337" s="1">
        <v>1062</v>
      </c>
      <c r="O1337" s="1">
        <v>2684</v>
      </c>
      <c r="P1337" s="1">
        <v>1622</v>
      </c>
      <c r="Q1337" s="1" t="s">
        <v>42</v>
      </c>
      <c r="S1337" s="1" t="s">
        <v>42</v>
      </c>
      <c r="T1337" s="1" t="s">
        <v>203</v>
      </c>
      <c r="U1337" s="1">
        <v>268</v>
      </c>
      <c r="V1337" s="5">
        <v>44314</v>
      </c>
      <c r="W1337" s="5">
        <v>43031</v>
      </c>
      <c r="X1337" s="1">
        <v>1370000</v>
      </c>
      <c r="Y1337" s="1">
        <v>1420000</v>
      </c>
      <c r="Z1337" s="5">
        <v>43300</v>
      </c>
      <c r="AA1337" s="1">
        <v>1398260.9</v>
      </c>
      <c r="AB1337" s="1" t="s">
        <v>1031</v>
      </c>
      <c r="AC1337" s="5">
        <v>43731</v>
      </c>
      <c r="AF1337" s="1">
        <v>10013</v>
      </c>
      <c r="AI1337" s="1" t="s">
        <v>103</v>
      </c>
      <c r="AJ1337" s="1">
        <v>2016</v>
      </c>
      <c r="AK1337" s="1" t="s">
        <v>81</v>
      </c>
      <c r="AL1337" s="1">
        <v>111</v>
      </c>
    </row>
    <row r="1338" spans="1:38" x14ac:dyDescent="0.2">
      <c r="A1338" s="2" t="str">
        <f>HYPERLINK("https://www.compass.com/listing/91-leonard-street-unit-7h-manhattan-ny-10013/34689500470861073/","91 Leonard St, Unit 7H")</f>
        <v>91 Leonard St, Unit 7H</v>
      </c>
      <c r="B1338" s="2" t="str">
        <f t="shared" si="240"/>
        <v>91 Leonard</v>
      </c>
      <c r="C1338" s="1" t="s">
        <v>40</v>
      </c>
      <c r="D1338" s="1" t="s">
        <v>41</v>
      </c>
      <c r="E1338" s="3">
        <v>1489903</v>
      </c>
      <c r="F1338" s="1">
        <v>1672.1699214365799</v>
      </c>
      <c r="G1338" s="1">
        <v>3</v>
      </c>
      <c r="H1338" s="1">
        <v>1</v>
      </c>
      <c r="I1338" s="1">
        <v>2</v>
      </c>
      <c r="J1338" s="1">
        <v>1.5</v>
      </c>
      <c r="K1338" s="1">
        <v>1</v>
      </c>
      <c r="L1338" s="1">
        <v>1</v>
      </c>
      <c r="M1338" s="1">
        <v>891</v>
      </c>
      <c r="N1338" s="1">
        <v>1067</v>
      </c>
      <c r="O1338" s="1">
        <v>2715</v>
      </c>
      <c r="P1338" s="1">
        <v>1648</v>
      </c>
      <c r="Q1338" s="1" t="s">
        <v>42</v>
      </c>
      <c r="S1338" s="1" t="s">
        <v>42</v>
      </c>
      <c r="T1338" s="1" t="s">
        <v>203</v>
      </c>
      <c r="U1338" s="1">
        <v>181</v>
      </c>
      <c r="V1338" s="5">
        <v>44314</v>
      </c>
      <c r="W1338" s="5">
        <v>43118</v>
      </c>
      <c r="X1338" s="1">
        <v>1</v>
      </c>
      <c r="Y1338" s="1">
        <v>1460000</v>
      </c>
      <c r="Z1338" s="5">
        <v>43300</v>
      </c>
      <c r="AA1338" s="1">
        <v>1489903.4</v>
      </c>
      <c r="AB1338" s="1" t="s">
        <v>1032</v>
      </c>
      <c r="AC1338" s="5">
        <v>43755</v>
      </c>
      <c r="AF1338" s="1">
        <v>10013</v>
      </c>
      <c r="AI1338" s="1" t="s">
        <v>103</v>
      </c>
      <c r="AJ1338" s="1">
        <v>2016</v>
      </c>
      <c r="AK1338" s="1" t="s">
        <v>81</v>
      </c>
      <c r="AL1338" s="1">
        <v>111</v>
      </c>
    </row>
    <row r="1339" spans="1:38" x14ac:dyDescent="0.2">
      <c r="A1339" s="2" t="str">
        <f>HYPERLINK("https://www.compass.com/listing/91-leonard-street-unit-3a-manhattan-ny-10013/34689537758326065/","91 Leonard St, Unit 3A")</f>
        <v>91 Leonard St, Unit 3A</v>
      </c>
      <c r="B1339" s="2" t="str">
        <f t="shared" si="240"/>
        <v>91 Leonard</v>
      </c>
      <c r="C1339" s="1" t="s">
        <v>40</v>
      </c>
      <c r="D1339" s="1" t="s">
        <v>41</v>
      </c>
      <c r="E1339" s="3">
        <v>1591728</v>
      </c>
      <c r="F1339" s="1">
        <v>1588.5508982035899</v>
      </c>
      <c r="G1339" s="1">
        <v>3</v>
      </c>
      <c r="H1339" s="1">
        <v>1</v>
      </c>
      <c r="I1339" s="1">
        <v>2</v>
      </c>
      <c r="J1339" s="1">
        <v>1.5</v>
      </c>
      <c r="K1339" s="1">
        <v>1</v>
      </c>
      <c r="L1339" s="1">
        <v>1</v>
      </c>
      <c r="M1339" s="4">
        <v>1002</v>
      </c>
      <c r="N1339" s="1">
        <v>1190</v>
      </c>
      <c r="O1339" s="1">
        <v>3010</v>
      </c>
      <c r="P1339" s="1">
        <v>1820</v>
      </c>
      <c r="Q1339" s="1" t="s">
        <v>42</v>
      </c>
      <c r="S1339" s="1" t="s">
        <v>42</v>
      </c>
      <c r="T1339" s="1" t="s">
        <v>203</v>
      </c>
      <c r="U1339" s="1">
        <v>225</v>
      </c>
      <c r="V1339" s="5">
        <v>44314</v>
      </c>
      <c r="W1339" s="5">
        <v>43074</v>
      </c>
      <c r="X1339" s="1">
        <v>1635000</v>
      </c>
      <c r="Y1339" s="1">
        <v>1635000</v>
      </c>
      <c r="Z1339" s="5">
        <v>43299</v>
      </c>
      <c r="AA1339" s="1">
        <v>1591728</v>
      </c>
      <c r="AB1339" s="1" t="s">
        <v>1033</v>
      </c>
      <c r="AC1339" s="5">
        <v>43704</v>
      </c>
      <c r="AF1339" s="1">
        <v>10013</v>
      </c>
      <c r="AI1339" s="1" t="s">
        <v>103</v>
      </c>
      <c r="AJ1339" s="1">
        <v>2016</v>
      </c>
      <c r="AK1339" s="1" t="s">
        <v>81</v>
      </c>
      <c r="AL1339" s="1">
        <v>111</v>
      </c>
    </row>
    <row r="1340" spans="1:38" x14ac:dyDescent="0.2">
      <c r="A1340" s="2" t="str">
        <f>HYPERLINK("https://www.compass.com/listing/91-leonard-street-unit-3h-manhattan-ny-10013/34689538001595729/","91 Leonard St, Unit 3H")</f>
        <v>91 Leonard St, Unit 3H</v>
      </c>
      <c r="B1340" s="2" t="str">
        <f t="shared" si="240"/>
        <v>91 Leonard</v>
      </c>
      <c r="C1340" s="1" t="s">
        <v>40</v>
      </c>
      <c r="D1340" s="1" t="s">
        <v>41</v>
      </c>
      <c r="E1340" s="3">
        <v>1474630</v>
      </c>
      <c r="F1340" s="1">
        <v>1595.91953463203</v>
      </c>
      <c r="G1340" s="1">
        <v>3</v>
      </c>
      <c r="H1340" s="1">
        <v>1</v>
      </c>
      <c r="I1340" s="1">
        <v>2</v>
      </c>
      <c r="J1340" s="1">
        <v>1.5</v>
      </c>
      <c r="K1340" s="1">
        <v>1</v>
      </c>
      <c r="L1340" s="1">
        <v>1</v>
      </c>
      <c r="M1340" s="1">
        <v>924</v>
      </c>
      <c r="N1340" s="1">
        <v>1094</v>
      </c>
      <c r="O1340" s="1">
        <v>2766</v>
      </c>
      <c r="P1340" s="1">
        <v>1672</v>
      </c>
      <c r="Q1340" s="1" t="s">
        <v>42</v>
      </c>
      <c r="S1340" s="1" t="s">
        <v>42</v>
      </c>
      <c r="T1340" s="1" t="s">
        <v>203</v>
      </c>
      <c r="U1340" s="1">
        <v>139</v>
      </c>
      <c r="V1340" s="5">
        <v>44314</v>
      </c>
      <c r="W1340" s="5">
        <v>43160</v>
      </c>
      <c r="X1340" s="1">
        <v>1420000</v>
      </c>
      <c r="Y1340" s="1">
        <v>1420000</v>
      </c>
      <c r="Z1340" s="5">
        <v>43300</v>
      </c>
      <c r="AA1340" s="1">
        <v>1474629.65</v>
      </c>
      <c r="AB1340" s="1" t="s">
        <v>1034</v>
      </c>
      <c r="AC1340" s="5">
        <v>43704</v>
      </c>
      <c r="AF1340" s="1">
        <v>10013</v>
      </c>
      <c r="AI1340" s="1" t="s">
        <v>103</v>
      </c>
      <c r="AJ1340" s="1">
        <v>2016</v>
      </c>
      <c r="AK1340" s="1" t="s">
        <v>81</v>
      </c>
      <c r="AL1340" s="1">
        <v>111</v>
      </c>
    </row>
    <row r="1341" spans="1:38" x14ac:dyDescent="0.2">
      <c r="A1341" s="2" t="str">
        <f>HYPERLINK("https://www.compass.com/listing/91-leonard-street-unit-4e-manhattan-ny-10013/34689604305041697/","91 Leonard St, Unit 4E")</f>
        <v>91 Leonard St, Unit 4E</v>
      </c>
      <c r="B1341" s="2" t="str">
        <f t="shared" si="240"/>
        <v>91 Leonard</v>
      </c>
      <c r="C1341" s="1" t="s">
        <v>40</v>
      </c>
      <c r="D1341" s="1" t="s">
        <v>41</v>
      </c>
      <c r="E1341" s="3">
        <v>1505177</v>
      </c>
      <c r="F1341" s="1">
        <v>1683.64334451901</v>
      </c>
      <c r="G1341" s="1">
        <v>3</v>
      </c>
      <c r="H1341" s="1">
        <v>1</v>
      </c>
      <c r="I1341" s="1">
        <v>2</v>
      </c>
      <c r="J1341" s="1">
        <v>1.5</v>
      </c>
      <c r="K1341" s="1">
        <v>1</v>
      </c>
      <c r="L1341" s="1">
        <v>1</v>
      </c>
      <c r="M1341" s="1">
        <v>894</v>
      </c>
      <c r="N1341" s="1">
        <v>1057</v>
      </c>
      <c r="O1341" s="1">
        <v>2672</v>
      </c>
      <c r="P1341" s="1">
        <v>1615</v>
      </c>
      <c r="Q1341" s="1" t="s">
        <v>42</v>
      </c>
      <c r="S1341" s="1" t="s">
        <v>42</v>
      </c>
      <c r="T1341" s="1" t="s">
        <v>203</v>
      </c>
      <c r="U1341" s="1">
        <v>175</v>
      </c>
      <c r="V1341" s="5">
        <v>44314</v>
      </c>
      <c r="W1341" s="5">
        <v>43124</v>
      </c>
      <c r="X1341" s="1">
        <v>1450000</v>
      </c>
      <c r="Y1341" s="1">
        <v>1450000</v>
      </c>
      <c r="Z1341" s="5">
        <v>43300</v>
      </c>
      <c r="AA1341" s="1">
        <v>1505177.15</v>
      </c>
      <c r="AB1341" s="1" t="s">
        <v>1035</v>
      </c>
      <c r="AC1341" s="5">
        <v>43728</v>
      </c>
      <c r="AF1341" s="1">
        <v>10013</v>
      </c>
      <c r="AI1341" s="1" t="s">
        <v>998</v>
      </c>
      <c r="AJ1341" s="1">
        <v>2016</v>
      </c>
      <c r="AK1341" s="1" t="s">
        <v>81</v>
      </c>
      <c r="AL1341" s="1">
        <v>111</v>
      </c>
    </row>
    <row r="1342" spans="1:38" x14ac:dyDescent="0.2">
      <c r="A1342" s="2" t="str">
        <f>HYPERLINK("https://www.compass.com/listing/91-leonard-street-unit-5b-manhattan-ny-10013/34689606939075281/","91 Leonard St, Unit 5B")</f>
        <v>91 Leonard St, Unit 5B</v>
      </c>
      <c r="B1342" s="2" t="str">
        <f t="shared" si="240"/>
        <v>91 Leonard</v>
      </c>
      <c r="C1342" s="1" t="s">
        <v>40</v>
      </c>
      <c r="D1342" s="1" t="s">
        <v>41</v>
      </c>
      <c r="E1342" s="3">
        <v>1515360</v>
      </c>
      <c r="F1342" s="1">
        <v>1739.7929391503999</v>
      </c>
      <c r="G1342" s="1">
        <v>3</v>
      </c>
      <c r="H1342" s="1">
        <v>1</v>
      </c>
      <c r="I1342" s="1">
        <v>2</v>
      </c>
      <c r="J1342" s="1">
        <v>1.5</v>
      </c>
      <c r="K1342" s="1">
        <v>1</v>
      </c>
      <c r="L1342" s="1">
        <v>1</v>
      </c>
      <c r="M1342" s="1">
        <v>871</v>
      </c>
      <c r="N1342" s="1">
        <v>1033</v>
      </c>
      <c r="O1342" s="1">
        <v>2611</v>
      </c>
      <c r="P1342" s="1">
        <v>1578</v>
      </c>
      <c r="Q1342" s="1" t="s">
        <v>42</v>
      </c>
      <c r="S1342" s="1" t="s">
        <v>42</v>
      </c>
      <c r="T1342" s="1" t="s">
        <v>203</v>
      </c>
      <c r="U1342" s="1">
        <v>223</v>
      </c>
      <c r="V1342" s="5">
        <v>44314</v>
      </c>
      <c r="W1342" s="5">
        <v>43076</v>
      </c>
      <c r="X1342" s="1">
        <v>1585000</v>
      </c>
      <c r="Y1342" s="1">
        <v>1585000</v>
      </c>
      <c r="Z1342" s="5">
        <v>43300</v>
      </c>
      <c r="AA1342" s="1">
        <v>1515359.65</v>
      </c>
      <c r="AB1342" s="1" t="s">
        <v>1036</v>
      </c>
      <c r="AC1342" s="5">
        <v>43727</v>
      </c>
      <c r="AF1342" s="1">
        <v>10013</v>
      </c>
      <c r="AI1342" s="1" t="s">
        <v>103</v>
      </c>
      <c r="AJ1342" s="1">
        <v>2016</v>
      </c>
      <c r="AK1342" s="1" t="s">
        <v>81</v>
      </c>
      <c r="AL1342" s="1">
        <v>111</v>
      </c>
    </row>
    <row r="1343" spans="1:38" x14ac:dyDescent="0.2">
      <c r="A1343" s="2" t="str">
        <f>HYPERLINK("https://www.compass.com/listing/91-leonard-street-unit-7e-manhattan-ny-10013/34697265738186977/","91 Leonard St, Unit 7E")</f>
        <v>91 Leonard St, Unit 7E</v>
      </c>
      <c r="B1343" s="2" t="str">
        <f t="shared" si="240"/>
        <v>91 Leonard</v>
      </c>
      <c r="C1343" s="1" t="s">
        <v>40</v>
      </c>
      <c r="D1343" s="1" t="s">
        <v>41</v>
      </c>
      <c r="E1343" s="3">
        <v>1480000</v>
      </c>
      <c r="F1343" s="1">
        <v>1655.4809843400401</v>
      </c>
      <c r="G1343" s="1">
        <v>3</v>
      </c>
      <c r="H1343" s="1">
        <v>1</v>
      </c>
      <c r="I1343" s="1">
        <v>2</v>
      </c>
      <c r="J1343" s="1">
        <v>1.5</v>
      </c>
      <c r="K1343" s="1">
        <v>1</v>
      </c>
      <c r="L1343" s="1">
        <v>1</v>
      </c>
      <c r="M1343" s="1">
        <v>894</v>
      </c>
      <c r="N1343" s="1">
        <v>1062</v>
      </c>
      <c r="O1343" s="1">
        <v>2684</v>
      </c>
      <c r="P1343" s="1">
        <v>1622</v>
      </c>
      <c r="Q1343" s="1" t="s">
        <v>42</v>
      </c>
      <c r="S1343" s="1" t="s">
        <v>42</v>
      </c>
      <c r="T1343" s="1" t="s">
        <v>203</v>
      </c>
      <c r="U1343" s="1">
        <v>14</v>
      </c>
      <c r="V1343" s="5">
        <v>44314</v>
      </c>
      <c r="W1343" s="5">
        <v>43566</v>
      </c>
      <c r="Y1343" s="1">
        <v>1480000</v>
      </c>
      <c r="Z1343" s="5">
        <v>43580</v>
      </c>
      <c r="AA1343" s="1">
        <v>1480000</v>
      </c>
      <c r="AB1343" s="1" t="s">
        <v>1037</v>
      </c>
      <c r="AC1343" s="5">
        <v>43711</v>
      </c>
      <c r="AF1343" s="1">
        <v>10013</v>
      </c>
      <c r="AI1343" s="1" t="s">
        <v>998</v>
      </c>
      <c r="AJ1343" s="1">
        <v>2016</v>
      </c>
      <c r="AK1343" s="1" t="s">
        <v>81</v>
      </c>
      <c r="AL1343" s="1">
        <v>111</v>
      </c>
    </row>
    <row r="1344" spans="1:38" x14ac:dyDescent="0.2">
      <c r="A1344" s="2" t="str">
        <f>HYPERLINK("https://www.compass.com/listing/91-leonard-street-unit-7b-manhattan-ny-10013/34697267147473521/","91 Leonard St, Unit 7B")</f>
        <v>91 Leonard St, Unit 7B</v>
      </c>
      <c r="B1344" s="2" t="str">
        <f t="shared" si="240"/>
        <v>91 Leonard</v>
      </c>
      <c r="C1344" s="1" t="s">
        <v>40</v>
      </c>
      <c r="D1344" s="1" t="s">
        <v>41</v>
      </c>
      <c r="E1344" s="3">
        <v>1637550</v>
      </c>
      <c r="F1344" s="1">
        <v>1880.0799655568301</v>
      </c>
      <c r="G1344" s="1">
        <v>3</v>
      </c>
      <c r="H1344" s="1">
        <v>1</v>
      </c>
      <c r="I1344" s="1">
        <v>2</v>
      </c>
      <c r="J1344" s="1">
        <v>1.5</v>
      </c>
      <c r="K1344" s="1">
        <v>1</v>
      </c>
      <c r="L1344" s="1">
        <v>1</v>
      </c>
      <c r="M1344" s="1">
        <v>871</v>
      </c>
      <c r="N1344" s="1">
        <v>1034</v>
      </c>
      <c r="O1344" s="1">
        <v>2631</v>
      </c>
      <c r="P1344" s="1">
        <v>1597</v>
      </c>
      <c r="Q1344" s="1" t="s">
        <v>42</v>
      </c>
      <c r="S1344" s="1" t="s">
        <v>42</v>
      </c>
      <c r="T1344" s="1" t="s">
        <v>203</v>
      </c>
      <c r="U1344" s="1">
        <v>223</v>
      </c>
      <c r="V1344" s="5">
        <v>44314</v>
      </c>
      <c r="W1344" s="5">
        <v>43076</v>
      </c>
      <c r="X1344" s="1">
        <v>1605000</v>
      </c>
      <c r="Y1344" s="1">
        <v>1605000</v>
      </c>
      <c r="Z1344" s="5">
        <v>43300</v>
      </c>
      <c r="AA1344" s="1">
        <v>1637549.65</v>
      </c>
      <c r="AB1344" s="1" t="s">
        <v>1038</v>
      </c>
      <c r="AC1344" s="5">
        <v>43749</v>
      </c>
      <c r="AF1344" s="1">
        <v>10013</v>
      </c>
      <c r="AI1344" s="1" t="s">
        <v>103</v>
      </c>
      <c r="AJ1344" s="1">
        <v>2016</v>
      </c>
      <c r="AK1344" s="1" t="s">
        <v>81</v>
      </c>
      <c r="AL1344" s="1">
        <v>111</v>
      </c>
    </row>
    <row r="1345" spans="1:38" x14ac:dyDescent="0.2">
      <c r="A1345" s="2" t="str">
        <f>HYPERLINK("https://www.compass.com/listing/91-leonard-street-unit-3b-manhattan-ny-10013/34698330311289713/","91 Leonard St, Unit 3B")</f>
        <v>91 Leonard St, Unit 3B</v>
      </c>
      <c r="B1345" s="2" t="str">
        <f t="shared" si="240"/>
        <v>91 Leonard</v>
      </c>
      <c r="C1345" s="1" t="s">
        <v>40</v>
      </c>
      <c r="D1345" s="1" t="s">
        <v>41</v>
      </c>
      <c r="E1345" s="3">
        <v>1464447</v>
      </c>
      <c r="F1345" s="1">
        <v>1731.0249999999901</v>
      </c>
      <c r="G1345" s="1">
        <v>2</v>
      </c>
      <c r="H1345" s="1">
        <v>1</v>
      </c>
      <c r="I1345" s="1">
        <v>2</v>
      </c>
      <c r="J1345" s="1">
        <v>1.5</v>
      </c>
      <c r="K1345" s="1">
        <v>1</v>
      </c>
      <c r="L1345" s="1">
        <v>1</v>
      </c>
      <c r="M1345" s="1">
        <v>846</v>
      </c>
      <c r="N1345" s="1">
        <v>997</v>
      </c>
      <c r="O1345" s="1">
        <v>2520</v>
      </c>
      <c r="P1345" s="1">
        <v>1523</v>
      </c>
      <c r="Q1345" s="1" t="s">
        <v>42</v>
      </c>
      <c r="S1345" s="1" t="s">
        <v>42</v>
      </c>
      <c r="T1345" s="1" t="s">
        <v>203</v>
      </c>
      <c r="U1345" s="1">
        <v>225</v>
      </c>
      <c r="V1345" s="5">
        <v>44314</v>
      </c>
      <c r="W1345" s="5">
        <v>43074</v>
      </c>
      <c r="X1345" s="1">
        <v>1435000</v>
      </c>
      <c r="Y1345" s="1">
        <v>1535000</v>
      </c>
      <c r="Z1345" s="5">
        <v>43300</v>
      </c>
      <c r="AA1345" s="1">
        <v>1464447.15</v>
      </c>
      <c r="AB1345" s="1" t="s">
        <v>1039</v>
      </c>
      <c r="AC1345" s="5">
        <v>43769</v>
      </c>
      <c r="AF1345" s="1">
        <v>10013</v>
      </c>
      <c r="AI1345" s="1" t="s">
        <v>103</v>
      </c>
      <c r="AJ1345" s="1">
        <v>2016</v>
      </c>
      <c r="AK1345" s="1" t="s">
        <v>81</v>
      </c>
      <c r="AL1345" s="1">
        <v>111</v>
      </c>
    </row>
    <row r="1346" spans="1:38" x14ac:dyDescent="0.2">
      <c r="A1346" s="2" t="str">
        <f>HYPERLINK("https://www.compass.com/listing/91-leonard-street-unit-6h-manhattan-ny-10013/803367321922065489/","91 Leonard St, Unit 6H")</f>
        <v>91 Leonard St, Unit 6H</v>
      </c>
      <c r="B1346" s="2" t="str">
        <f t="shared" si="240"/>
        <v>91 Leonard</v>
      </c>
      <c r="C1346" s="1" t="s">
        <v>40</v>
      </c>
      <c r="D1346" s="1" t="s">
        <v>41</v>
      </c>
      <c r="E1346" s="3">
        <v>1450000</v>
      </c>
      <c r="F1346" s="1">
        <v>1582.9694323144099</v>
      </c>
      <c r="G1346" s="1">
        <v>2</v>
      </c>
      <c r="H1346" s="1">
        <v>1</v>
      </c>
      <c r="I1346" s="1">
        <v>2</v>
      </c>
      <c r="J1346" s="1">
        <v>1.5</v>
      </c>
      <c r="K1346" s="1">
        <v>1</v>
      </c>
      <c r="L1346" s="1">
        <v>1</v>
      </c>
      <c r="M1346" s="1">
        <v>916</v>
      </c>
      <c r="N1346" s="1">
        <v>1100</v>
      </c>
      <c r="O1346" s="1">
        <v>2798</v>
      </c>
      <c r="P1346" s="1">
        <v>1698</v>
      </c>
      <c r="Q1346" s="1" t="s">
        <v>42</v>
      </c>
      <c r="S1346" s="1" t="s">
        <v>42</v>
      </c>
      <c r="T1346" s="1" t="s">
        <v>203</v>
      </c>
      <c r="U1346" s="1">
        <v>32</v>
      </c>
      <c r="V1346" s="5">
        <v>44314</v>
      </c>
      <c r="W1346" s="5">
        <v>43107</v>
      </c>
      <c r="X1346" s="1">
        <v>1450000</v>
      </c>
      <c r="Y1346" s="1">
        <v>1450000</v>
      </c>
      <c r="AA1346" s="1">
        <v>1450000</v>
      </c>
      <c r="AB1346" s="1" t="s">
        <v>204</v>
      </c>
      <c r="AC1346" s="5">
        <v>43139</v>
      </c>
      <c r="AF1346" s="1">
        <v>10013</v>
      </c>
      <c r="AI1346" s="1" t="s">
        <v>103</v>
      </c>
      <c r="AJ1346" s="1">
        <v>2016</v>
      </c>
      <c r="AK1346" s="1" t="s">
        <v>81</v>
      </c>
      <c r="AL1346" s="1">
        <v>111</v>
      </c>
    </row>
    <row r="1347" spans="1:38" x14ac:dyDescent="0.2">
      <c r="A1347" s="2" t="str">
        <f>HYPERLINK("https://www.compass.com/listing/15-leonard-street-unit-3-manhattan-ny-10013/29358761051199617/","15 Leonard St, Unit 3")</f>
        <v>15 Leonard St, Unit 3</v>
      </c>
      <c r="B1347" s="2" t="str">
        <f t="shared" ref="B1347:B1350" si="241">HYPERLINK("https://www.compass.com/building/15-leonard-st-manhattan-ny-10013/281917245892885845/","15 Leonard St")</f>
        <v>15 Leonard St</v>
      </c>
      <c r="C1347" s="1" t="s">
        <v>40</v>
      </c>
      <c r="D1347" s="1" t="s">
        <v>41</v>
      </c>
      <c r="E1347" s="3">
        <v>6555133</v>
      </c>
      <c r="F1347" s="1">
        <v>2501.0045784051799</v>
      </c>
      <c r="G1347" s="1">
        <v>6</v>
      </c>
      <c r="H1347" s="1">
        <v>4</v>
      </c>
      <c r="I1347" s="1">
        <v>4</v>
      </c>
      <c r="J1347" s="1">
        <v>3.5</v>
      </c>
      <c r="M1347" s="4">
        <v>2621</v>
      </c>
      <c r="N1347" s="1">
        <v>1839</v>
      </c>
      <c r="O1347" s="1">
        <v>5697</v>
      </c>
      <c r="P1347" s="1">
        <v>3858</v>
      </c>
      <c r="Q1347" s="1" t="s">
        <v>42</v>
      </c>
      <c r="S1347" s="1" t="s">
        <v>42</v>
      </c>
      <c r="T1347" s="1" t="s">
        <v>203</v>
      </c>
      <c r="U1347" s="1">
        <v>20</v>
      </c>
      <c r="V1347" s="5">
        <v>43631</v>
      </c>
      <c r="W1347" s="5">
        <v>41730</v>
      </c>
      <c r="X1347" s="1">
        <v>6150000</v>
      </c>
      <c r="Y1347" s="1">
        <v>6450000</v>
      </c>
      <c r="Z1347" s="5">
        <v>41750</v>
      </c>
      <c r="AA1347" s="1">
        <v>6555133</v>
      </c>
      <c r="AB1347" s="1" t="s">
        <v>1040</v>
      </c>
      <c r="AC1347" s="5">
        <v>42517</v>
      </c>
      <c r="AF1347" s="1">
        <v>10013</v>
      </c>
      <c r="AI1347" s="1" t="s">
        <v>148</v>
      </c>
      <c r="AJ1347" s="1">
        <v>2014</v>
      </c>
      <c r="AL1347" s="1">
        <v>6</v>
      </c>
    </row>
    <row r="1348" spans="1:38" x14ac:dyDescent="0.2">
      <c r="A1348" s="2" t="str">
        <f>HYPERLINK("https://www.compass.com/listing/15-leonard-street-unit-5-manhattan-ny-10013/29358761688738001/","15 Leonard St, Unit 5")</f>
        <v>15 Leonard St, Unit 5</v>
      </c>
      <c r="B1348" s="2" t="str">
        <f t="shared" si="241"/>
        <v>15 Leonard St</v>
      </c>
      <c r="C1348" s="1" t="s">
        <v>40</v>
      </c>
      <c r="D1348" s="1" t="s">
        <v>41</v>
      </c>
      <c r="E1348" s="3">
        <v>6919009</v>
      </c>
      <c r="F1348" s="1">
        <v>2639.8355589469602</v>
      </c>
      <c r="G1348" s="1">
        <v>6</v>
      </c>
      <c r="H1348" s="1">
        <v>4</v>
      </c>
      <c r="I1348" s="1">
        <v>4</v>
      </c>
      <c r="J1348" s="1">
        <v>3.5</v>
      </c>
      <c r="M1348" s="4">
        <v>2621</v>
      </c>
      <c r="N1348" s="1">
        <v>1934</v>
      </c>
      <c r="O1348" s="1">
        <v>5992</v>
      </c>
      <c r="P1348" s="1">
        <v>4058</v>
      </c>
      <c r="Q1348" s="1" t="s">
        <v>42</v>
      </c>
      <c r="S1348" s="1" t="s">
        <v>42</v>
      </c>
      <c r="T1348" s="1" t="s">
        <v>203</v>
      </c>
      <c r="V1348" s="5">
        <v>43642</v>
      </c>
      <c r="W1348" s="5">
        <v>41730</v>
      </c>
      <c r="X1348" s="1">
        <v>6795000</v>
      </c>
      <c r="Y1348" s="1">
        <v>6795000</v>
      </c>
      <c r="Z1348" s="5">
        <v>41730</v>
      </c>
      <c r="AA1348" s="1">
        <v>6919009</v>
      </c>
      <c r="AB1348" s="1" t="s">
        <v>1041</v>
      </c>
      <c r="AC1348" s="5">
        <v>42546</v>
      </c>
      <c r="AF1348" s="1">
        <v>10013</v>
      </c>
      <c r="AI1348" s="1" t="s">
        <v>148</v>
      </c>
      <c r="AJ1348" s="1">
        <v>2014</v>
      </c>
      <c r="AL1348" s="1">
        <v>6</v>
      </c>
    </row>
    <row r="1349" spans="1:38" x14ac:dyDescent="0.2">
      <c r="A1349" s="2" t="str">
        <f>HYPERLINK("https://www.compass.com/listing/15-leonard-street-unit-4-manhattan-ny-10013/70922128517567985/","15 Leonard St, Unit 4")</f>
        <v>15 Leonard St, Unit 4</v>
      </c>
      <c r="B1349" s="2" t="str">
        <f t="shared" si="241"/>
        <v>15 Leonard St</v>
      </c>
      <c r="C1349" s="1" t="s">
        <v>40</v>
      </c>
      <c r="D1349" s="1" t="s">
        <v>41</v>
      </c>
      <c r="E1349" s="3">
        <v>6975013</v>
      </c>
      <c r="F1349" s="1">
        <v>2661.2029759633701</v>
      </c>
      <c r="G1349" s="1">
        <v>6</v>
      </c>
      <c r="H1349" s="1">
        <v>4</v>
      </c>
      <c r="I1349" s="1">
        <v>4</v>
      </c>
      <c r="J1349" s="1">
        <v>3.5</v>
      </c>
      <c r="M1349" s="4">
        <v>2621</v>
      </c>
      <c r="N1349" s="1">
        <v>1912</v>
      </c>
      <c r="O1349" s="1">
        <v>5924</v>
      </c>
      <c r="P1349" s="1">
        <v>4012</v>
      </c>
      <c r="Q1349" s="1" t="s">
        <v>42</v>
      </c>
      <c r="S1349" s="1" t="s">
        <v>42</v>
      </c>
      <c r="T1349" s="1" t="s">
        <v>203</v>
      </c>
      <c r="U1349" s="1">
        <v>126</v>
      </c>
      <c r="V1349" s="5">
        <v>42879</v>
      </c>
      <c r="W1349" s="5">
        <v>41729</v>
      </c>
      <c r="X1349" s="1">
        <v>6650000</v>
      </c>
      <c r="Y1349" s="1">
        <v>6990000</v>
      </c>
      <c r="Z1349" s="5">
        <v>41855</v>
      </c>
      <c r="AA1349" s="1">
        <v>6975013</v>
      </c>
      <c r="AB1349" s="1" t="s">
        <v>1042</v>
      </c>
      <c r="AC1349" s="5">
        <v>42545</v>
      </c>
      <c r="AF1349" s="1">
        <v>10013</v>
      </c>
      <c r="AI1349" s="1" t="s">
        <v>148</v>
      </c>
      <c r="AJ1349" s="1">
        <v>2014</v>
      </c>
      <c r="AL1349" s="1">
        <v>6</v>
      </c>
    </row>
    <row r="1350" spans="1:38" x14ac:dyDescent="0.2">
      <c r="A1350" s="2" t="str">
        <f>HYPERLINK("https://www.compass.com/listing/15-leonard-street-unit-4-manhattan-ny-10013/803338183697810465/","15 Leonard St, Unit 4")</f>
        <v>15 Leonard St, Unit 4</v>
      </c>
      <c r="B1350" s="2" t="str">
        <f t="shared" si="241"/>
        <v>15 Leonard St</v>
      </c>
      <c r="C1350" s="1" t="s">
        <v>40</v>
      </c>
      <c r="D1350" s="1" t="s">
        <v>41</v>
      </c>
      <c r="E1350" s="3">
        <v>6975013</v>
      </c>
      <c r="F1350" s="1">
        <v>2661.2029759633701</v>
      </c>
      <c r="G1350" s="1">
        <v>6</v>
      </c>
      <c r="H1350" s="1">
        <v>4</v>
      </c>
      <c r="I1350" s="1">
        <v>4</v>
      </c>
      <c r="J1350" s="1">
        <v>3.5</v>
      </c>
      <c r="K1350" s="1">
        <v>3</v>
      </c>
      <c r="L1350" s="1">
        <v>1</v>
      </c>
      <c r="M1350" s="4">
        <v>2621</v>
      </c>
      <c r="N1350" s="1">
        <v>1912</v>
      </c>
      <c r="O1350" s="1">
        <v>5924</v>
      </c>
      <c r="P1350" s="1">
        <v>4012</v>
      </c>
      <c r="Q1350" s="1" t="s">
        <v>42</v>
      </c>
      <c r="S1350" s="1" t="s">
        <v>42</v>
      </c>
      <c r="T1350" s="1" t="s">
        <v>203</v>
      </c>
      <c r="U1350" s="1">
        <v>815</v>
      </c>
      <c r="V1350" s="5">
        <v>42777</v>
      </c>
      <c r="W1350" s="5">
        <v>41730</v>
      </c>
      <c r="X1350" s="1">
        <v>6975013</v>
      </c>
      <c r="Y1350" s="1">
        <v>6975013</v>
      </c>
      <c r="AA1350" s="1">
        <v>6975013</v>
      </c>
      <c r="AB1350" s="1" t="s">
        <v>1042</v>
      </c>
      <c r="AC1350" s="5">
        <v>42545</v>
      </c>
      <c r="AF1350" s="1">
        <v>10013</v>
      </c>
      <c r="AI1350" s="1" t="s">
        <v>93</v>
      </c>
      <c r="AJ1350" s="1">
        <v>2014</v>
      </c>
      <c r="AL1350" s="1">
        <v>6</v>
      </c>
    </row>
    <row r="1351" spans="1:38" x14ac:dyDescent="0.2">
      <c r="A1351" s="2" t="str">
        <f>HYPERLINK("https://www.compass.com/listing/91-leonard-street-unit-11c-manhattan-ny-10013/381095208667121777/","91 Leonard St, Unit 11C")</f>
        <v>91 Leonard St, Unit 11C</v>
      </c>
      <c r="B1351" s="2" t="str">
        <f t="shared" ref="B1351:B1353" si="242">HYPERLINK("https://www.compass.com/building/91-leonard-manhattan-ny/282058661633754165/","91 Leonard")</f>
        <v>91 Leonard</v>
      </c>
      <c r="C1351" s="1" t="s">
        <v>40</v>
      </c>
      <c r="D1351" s="1" t="s">
        <v>41</v>
      </c>
      <c r="E1351" s="3">
        <v>3625000</v>
      </c>
      <c r="F1351" s="1">
        <v>1872.4173553718999</v>
      </c>
      <c r="G1351" s="1">
        <v>4.5</v>
      </c>
      <c r="H1351" s="1">
        <v>3</v>
      </c>
      <c r="I1351" s="1">
        <v>4</v>
      </c>
      <c r="J1351" s="1">
        <v>3.5</v>
      </c>
      <c r="K1351" s="1">
        <v>3</v>
      </c>
      <c r="L1351" s="1">
        <v>1</v>
      </c>
      <c r="M1351" s="4">
        <v>1936</v>
      </c>
      <c r="N1351" s="1">
        <v>2373</v>
      </c>
      <c r="O1351" s="1">
        <v>5997</v>
      </c>
      <c r="P1351" s="1">
        <v>3624</v>
      </c>
      <c r="Q1351" s="1" t="s">
        <v>42</v>
      </c>
      <c r="S1351" s="1" t="s">
        <v>42</v>
      </c>
      <c r="T1351" s="1" t="s">
        <v>203</v>
      </c>
      <c r="U1351" s="1">
        <v>114</v>
      </c>
      <c r="V1351" s="5">
        <v>44314</v>
      </c>
      <c r="W1351" s="5">
        <v>43778</v>
      </c>
      <c r="X1351" s="1">
        <v>3990000</v>
      </c>
      <c r="Y1351" s="1">
        <v>3990000</v>
      </c>
      <c r="Z1351" s="5">
        <v>43892</v>
      </c>
      <c r="AA1351" s="1">
        <v>3625000</v>
      </c>
      <c r="AB1351" s="1" t="s">
        <v>1043</v>
      </c>
      <c r="AC1351" s="5">
        <v>43950</v>
      </c>
      <c r="AF1351" s="1">
        <v>10013</v>
      </c>
      <c r="AI1351" s="1" t="s">
        <v>103</v>
      </c>
      <c r="AJ1351" s="1">
        <v>2016</v>
      </c>
      <c r="AK1351" s="1" t="s">
        <v>81</v>
      </c>
      <c r="AL1351" s="1">
        <v>111</v>
      </c>
    </row>
    <row r="1352" spans="1:38" x14ac:dyDescent="0.2">
      <c r="A1352" s="2" t="str">
        <f>HYPERLINK("https://www.compass.com/listing/91-leonard-street-unit-12c-manhattan-ny-10013/45516218437806801/","91 Leonard St, Unit 12C")</f>
        <v>91 Leonard St, Unit 12C</v>
      </c>
      <c r="B1352" s="2" t="str">
        <f t="shared" si="242"/>
        <v>91 Leonard</v>
      </c>
      <c r="C1352" s="1" t="s">
        <v>40</v>
      </c>
      <c r="D1352" s="1" t="s">
        <v>41</v>
      </c>
      <c r="E1352" s="3">
        <v>3700000</v>
      </c>
      <c r="F1352" s="1">
        <v>1911.1570247933801</v>
      </c>
      <c r="G1352" s="1">
        <v>5</v>
      </c>
      <c r="H1352" s="1">
        <v>3</v>
      </c>
      <c r="I1352" s="1">
        <v>4</v>
      </c>
      <c r="J1352" s="1">
        <v>3.5</v>
      </c>
      <c r="K1352" s="1">
        <v>3</v>
      </c>
      <c r="L1352" s="1">
        <v>1</v>
      </c>
      <c r="M1352" s="4">
        <v>1936</v>
      </c>
      <c r="N1352" s="1">
        <v>2373</v>
      </c>
      <c r="O1352" s="1">
        <v>5997</v>
      </c>
      <c r="P1352" s="1">
        <v>3624</v>
      </c>
      <c r="Q1352" s="1" t="s">
        <v>42</v>
      </c>
      <c r="S1352" s="1" t="s">
        <v>42</v>
      </c>
      <c r="T1352" s="1" t="s">
        <v>203</v>
      </c>
      <c r="U1352" s="1">
        <v>926</v>
      </c>
      <c r="V1352" s="5">
        <v>44335</v>
      </c>
      <c r="W1352" s="5">
        <v>43315</v>
      </c>
      <c r="X1352" s="1">
        <v>4220000</v>
      </c>
      <c r="Y1352" s="1">
        <v>3750000</v>
      </c>
      <c r="Z1352" s="5">
        <v>44335</v>
      </c>
      <c r="AA1352" s="1">
        <v>3700000</v>
      </c>
      <c r="AB1352" s="1" t="s">
        <v>1044</v>
      </c>
      <c r="AC1352" s="5">
        <v>44371</v>
      </c>
      <c r="AF1352" s="1">
        <v>10013</v>
      </c>
      <c r="AI1352" s="1" t="s">
        <v>103</v>
      </c>
      <c r="AJ1352" s="1">
        <v>2016</v>
      </c>
      <c r="AK1352" s="1" t="s">
        <v>81</v>
      </c>
      <c r="AL1352" s="1">
        <v>111</v>
      </c>
    </row>
    <row r="1353" spans="1:38" x14ac:dyDescent="0.2">
      <c r="A1353" s="2" t="str">
        <f>HYPERLINK("https://www.compass.com/listing/91-leonard-street-unit-16f-manhattan-ny-10013/700874889722136769/","91 Leonard St, Unit 16F")</f>
        <v>91 Leonard St, Unit 16F</v>
      </c>
      <c r="B1353" s="2" t="str">
        <f t="shared" si="242"/>
        <v>91 Leonard</v>
      </c>
      <c r="C1353" s="1" t="s">
        <v>40</v>
      </c>
      <c r="D1353" s="1" t="s">
        <v>41</v>
      </c>
      <c r="E1353" s="3">
        <v>2650000</v>
      </c>
      <c r="F1353" s="1">
        <v>1823.81280110117</v>
      </c>
      <c r="G1353" s="1">
        <v>4</v>
      </c>
      <c r="H1353" s="1">
        <v>2</v>
      </c>
      <c r="I1353" s="1">
        <v>2</v>
      </c>
      <c r="J1353" s="1">
        <v>2</v>
      </c>
      <c r="K1353" s="1">
        <v>2</v>
      </c>
      <c r="M1353" s="4">
        <v>1453</v>
      </c>
      <c r="N1353" s="1">
        <v>1792</v>
      </c>
      <c r="O1353" s="1">
        <v>3467</v>
      </c>
      <c r="P1353" s="1">
        <v>1675</v>
      </c>
      <c r="Q1353" s="1" t="s">
        <v>42</v>
      </c>
      <c r="S1353" s="1" t="s">
        <v>42</v>
      </c>
      <c r="T1353" s="1" t="s">
        <v>203</v>
      </c>
      <c r="V1353" s="5">
        <v>44338</v>
      </c>
      <c r="W1353" s="5">
        <v>44219</v>
      </c>
      <c r="X1353" s="1">
        <v>2695000</v>
      </c>
      <c r="Y1353" s="1">
        <v>2695000</v>
      </c>
      <c r="Z1353" s="5">
        <v>44219</v>
      </c>
      <c r="AA1353" s="1">
        <v>2650000</v>
      </c>
      <c r="AB1353" s="1" t="s">
        <v>1045</v>
      </c>
      <c r="AC1353" s="5">
        <v>44337</v>
      </c>
      <c r="AF1353" s="1">
        <v>10013</v>
      </c>
      <c r="AI1353" s="1" t="s">
        <v>52</v>
      </c>
      <c r="AJ1353" s="1">
        <v>2016</v>
      </c>
      <c r="AK1353" s="1" t="s">
        <v>537</v>
      </c>
      <c r="AL1353" s="1">
        <v>111</v>
      </c>
    </row>
    <row r="1354" spans="1:38" x14ac:dyDescent="0.2">
      <c r="A1354" s="2" t="str">
        <f>HYPERLINK("https://www.compass.com/listing/133-mulberry-street-unit-2b-manhattan-ny-10013/29359710809435665/","133 Mulberry St, Unit 2B")</f>
        <v>133 Mulberry St, Unit 2B</v>
      </c>
      <c r="B1354" s="2" t="str">
        <f>HYPERLINK("https://www.compass.com/building/133-mulberry-st-manhattan-ny-10013/281916941336083477/","133 Mulberry St")</f>
        <v>133 Mulberry St</v>
      </c>
      <c r="C1354" s="1" t="s">
        <v>135</v>
      </c>
      <c r="D1354" s="1" t="s">
        <v>41</v>
      </c>
      <c r="E1354" s="3">
        <v>3200000</v>
      </c>
      <c r="F1354" s="1">
        <v>1082.17788298951</v>
      </c>
      <c r="G1354" s="1">
        <v>5</v>
      </c>
      <c r="H1354" s="1">
        <v>3</v>
      </c>
      <c r="I1354" s="1">
        <v>3</v>
      </c>
      <c r="J1354" s="1">
        <v>3</v>
      </c>
      <c r="K1354" s="1">
        <v>3</v>
      </c>
      <c r="M1354" s="4">
        <v>2957</v>
      </c>
      <c r="N1354" s="1">
        <v>2227</v>
      </c>
      <c r="O1354" s="1">
        <v>5330</v>
      </c>
      <c r="P1354" s="1">
        <v>3103</v>
      </c>
      <c r="Q1354" s="1" t="s">
        <v>42</v>
      </c>
      <c r="S1354" s="1" t="s">
        <v>42</v>
      </c>
      <c r="T1354" s="1" t="s">
        <v>203</v>
      </c>
      <c r="U1354" s="1">
        <v>232</v>
      </c>
      <c r="V1354" s="5">
        <v>43637</v>
      </c>
      <c r="W1354" s="5">
        <v>42214</v>
      </c>
      <c r="X1354" s="1">
        <v>3800000</v>
      </c>
      <c r="Y1354" s="1">
        <v>3350000</v>
      </c>
      <c r="Z1354" s="5">
        <v>42446</v>
      </c>
      <c r="AA1354" s="1">
        <v>3200000</v>
      </c>
      <c r="AB1354" s="1" t="s">
        <v>1046</v>
      </c>
      <c r="AC1354" s="5">
        <v>42530</v>
      </c>
      <c r="AF1354" s="1">
        <v>10013</v>
      </c>
      <c r="AI1354" s="1" t="s">
        <v>166</v>
      </c>
      <c r="AJ1354" s="1">
        <v>1893</v>
      </c>
      <c r="AK1354" s="1" t="s">
        <v>137</v>
      </c>
      <c r="AL1354" s="1">
        <v>18</v>
      </c>
    </row>
    <row r="1355" spans="1:38" x14ac:dyDescent="0.2">
      <c r="A1355" s="2" t="str">
        <f>HYPERLINK("https://www.compass.com/listing/93-reade-street-unit-2-manhattan-ny-10013/29358254781921041/","93 Reade St, Unit 2")</f>
        <v>93 Reade St, Unit 2</v>
      </c>
      <c r="B1355" s="2" t="str">
        <f t="shared" ref="B1355:B1356" si="243">HYPERLINK("https://www.compass.com/building/obsidian-house-manhattan-ny/281921586796203349/","Obsidian House")</f>
        <v>Obsidian House</v>
      </c>
      <c r="C1355" s="1" t="s">
        <v>40</v>
      </c>
      <c r="D1355" s="1" t="s">
        <v>41</v>
      </c>
      <c r="E1355" s="3">
        <v>3159325</v>
      </c>
      <c r="F1355" s="1">
        <v>2153.5957736877899</v>
      </c>
      <c r="G1355" s="1">
        <v>4</v>
      </c>
      <c r="H1355" s="1">
        <v>2</v>
      </c>
      <c r="I1355" s="1">
        <v>2</v>
      </c>
      <c r="J1355" s="1">
        <v>2</v>
      </c>
      <c r="K1355" s="1">
        <v>2</v>
      </c>
      <c r="M1355" s="4">
        <v>1467</v>
      </c>
      <c r="N1355" s="1">
        <v>1700</v>
      </c>
      <c r="O1355" s="1">
        <v>3255</v>
      </c>
      <c r="P1355" s="1">
        <v>1555</v>
      </c>
      <c r="Q1355" s="1" t="s">
        <v>42</v>
      </c>
      <c r="S1355" s="1" t="s">
        <v>42</v>
      </c>
      <c r="T1355" s="1" t="s">
        <v>203</v>
      </c>
      <c r="V1355" s="5">
        <v>43664</v>
      </c>
      <c r="W1355" s="5">
        <v>42123</v>
      </c>
      <c r="X1355" s="1">
        <v>3100000</v>
      </c>
      <c r="Y1355" s="1">
        <v>3100000</v>
      </c>
      <c r="Z1355" s="5">
        <v>42123</v>
      </c>
      <c r="AA1355" s="1">
        <v>3159325</v>
      </c>
      <c r="AB1355" s="1" t="s">
        <v>1047</v>
      </c>
      <c r="AC1355" s="5">
        <v>42537</v>
      </c>
      <c r="AF1355" s="1">
        <v>10013</v>
      </c>
      <c r="AI1355" s="1" t="s">
        <v>93</v>
      </c>
      <c r="AJ1355" s="1">
        <v>1857</v>
      </c>
      <c r="AK1355" s="1" t="s">
        <v>61</v>
      </c>
      <c r="AL1355" s="1">
        <v>4</v>
      </c>
    </row>
    <row r="1356" spans="1:38" x14ac:dyDescent="0.2">
      <c r="A1356" s="2" t="str">
        <f>HYPERLINK("https://www.compass.com/listing/93-reade-street-unit-4-manhattan-ny-10013/29358255461492305/","93 Reade St, Unit 4")</f>
        <v>93 Reade St, Unit 4</v>
      </c>
      <c r="B1356" s="2" t="str">
        <f t="shared" si="243"/>
        <v>Obsidian House</v>
      </c>
      <c r="C1356" s="1" t="s">
        <v>40</v>
      </c>
      <c r="D1356" s="1" t="s">
        <v>41</v>
      </c>
      <c r="E1356" s="3">
        <v>3057500</v>
      </c>
      <c r="F1356" s="1">
        <v>2084.1854124062702</v>
      </c>
      <c r="G1356" s="1">
        <v>4</v>
      </c>
      <c r="H1356" s="1">
        <v>2</v>
      </c>
      <c r="I1356" s="1">
        <v>2</v>
      </c>
      <c r="J1356" s="1">
        <v>2</v>
      </c>
      <c r="K1356" s="1">
        <v>2</v>
      </c>
      <c r="M1356" s="4">
        <v>1467</v>
      </c>
      <c r="N1356" s="1">
        <v>1672</v>
      </c>
      <c r="O1356" s="1">
        <v>3201</v>
      </c>
      <c r="P1356" s="1">
        <v>1529</v>
      </c>
      <c r="Q1356" s="1" t="s">
        <v>42</v>
      </c>
      <c r="S1356" s="1" t="s">
        <v>42</v>
      </c>
      <c r="T1356" s="1" t="s">
        <v>203</v>
      </c>
      <c r="V1356" s="5">
        <v>43676</v>
      </c>
      <c r="W1356" s="5">
        <v>42123</v>
      </c>
      <c r="X1356" s="1">
        <v>2950000</v>
      </c>
      <c r="Y1356" s="1">
        <v>2950000</v>
      </c>
      <c r="Z1356" s="5">
        <v>42399</v>
      </c>
      <c r="AA1356" s="1">
        <v>3057500</v>
      </c>
      <c r="AB1356" s="1" t="s">
        <v>1048</v>
      </c>
      <c r="AC1356" s="5">
        <v>42537</v>
      </c>
      <c r="AF1356" s="1">
        <v>10013</v>
      </c>
      <c r="AI1356" s="1" t="s">
        <v>58</v>
      </c>
      <c r="AJ1356" s="1">
        <v>1857</v>
      </c>
      <c r="AK1356" s="1" t="s">
        <v>61</v>
      </c>
      <c r="AL1356" s="1">
        <v>4</v>
      </c>
    </row>
    <row r="1357" spans="1:38" x14ac:dyDescent="0.2">
      <c r="A1357" s="2" t="str">
        <f>HYPERLINK("https://www.compass.com/listing/91-leonard-street-unit-5a-manhattan-ny-10013/344780127843553441/","91 Leonard St, Unit 5A")</f>
        <v>91 Leonard St, Unit 5A</v>
      </c>
      <c r="B1357" s="2" t="str">
        <f>HYPERLINK("https://www.compass.com/building/91-leonard-manhattan-ny/282058661633754165/","91 Leonard")</f>
        <v>91 Leonard</v>
      </c>
      <c r="C1357" s="1" t="s">
        <v>40</v>
      </c>
      <c r="D1357" s="1" t="s">
        <v>41</v>
      </c>
      <c r="E1357" s="3">
        <v>2545625</v>
      </c>
      <c r="F1357" s="1">
        <v>1716.5374241402501</v>
      </c>
      <c r="G1357" s="1">
        <v>4</v>
      </c>
      <c r="H1357" s="1">
        <v>2</v>
      </c>
      <c r="I1357" s="1">
        <v>3</v>
      </c>
      <c r="J1357" s="1">
        <v>2.5</v>
      </c>
      <c r="K1357" s="1">
        <v>2</v>
      </c>
      <c r="L1357" s="1">
        <v>1</v>
      </c>
      <c r="M1357" s="4">
        <v>1483</v>
      </c>
      <c r="N1357" s="1">
        <v>1794</v>
      </c>
      <c r="O1357" s="1">
        <v>4535</v>
      </c>
      <c r="P1357" s="1">
        <v>2741</v>
      </c>
      <c r="Q1357" s="1" t="s">
        <v>42</v>
      </c>
      <c r="S1357" s="1" t="s">
        <v>42</v>
      </c>
      <c r="T1357" s="1" t="s">
        <v>203</v>
      </c>
      <c r="U1357" s="1">
        <v>79</v>
      </c>
      <c r="V1357" s="5">
        <v>44314</v>
      </c>
      <c r="W1357" s="5">
        <v>43728</v>
      </c>
      <c r="X1357" s="1">
        <v>2650000</v>
      </c>
      <c r="Y1357" s="1">
        <v>2650000</v>
      </c>
      <c r="Z1357" s="5">
        <v>43807</v>
      </c>
      <c r="AA1357" s="1">
        <v>2545625</v>
      </c>
      <c r="AB1357" s="1" t="s">
        <v>1049</v>
      </c>
      <c r="AC1357" s="5">
        <v>43833</v>
      </c>
      <c r="AF1357" s="1">
        <v>10013</v>
      </c>
      <c r="AI1357" s="1" t="s">
        <v>998</v>
      </c>
      <c r="AJ1357" s="1">
        <v>2016</v>
      </c>
      <c r="AK1357" s="1" t="s">
        <v>81</v>
      </c>
      <c r="AL1357" s="1">
        <v>111</v>
      </c>
    </row>
    <row r="1358" spans="1:38" x14ac:dyDescent="0.2">
      <c r="A1358" s="2" t="str">
        <f>HYPERLINK("https://www.compass.com/listing/70-vestry-street-unit-5b-manhattan-ny-10013/21054655526112513/","70 Vestry St, Unit 5B")</f>
        <v>70 Vestry St, Unit 5B</v>
      </c>
      <c r="B1358" s="2" t="str">
        <f t="shared" ref="B1358:B1361" si="244">HYPERLINK("https://www.compass.com/building/70-vestry-st-manhattan-ny-10013/281921126949489413/","70 Vestry St")</f>
        <v>70 Vestry St</v>
      </c>
      <c r="C1358" s="1" t="s">
        <v>40</v>
      </c>
      <c r="D1358" s="1" t="s">
        <v>41</v>
      </c>
      <c r="E1358" s="3">
        <v>11710274</v>
      </c>
      <c r="F1358" s="1">
        <v>3612.0524367674202</v>
      </c>
      <c r="G1358" s="1">
        <v>8</v>
      </c>
      <c r="H1358" s="1">
        <v>4</v>
      </c>
      <c r="I1358" s="1">
        <v>4</v>
      </c>
      <c r="J1358" s="1">
        <v>4.5</v>
      </c>
      <c r="K1358" s="1">
        <v>4</v>
      </c>
      <c r="L1358" s="1">
        <v>1</v>
      </c>
      <c r="M1358" s="4">
        <v>3242</v>
      </c>
      <c r="N1358" s="1">
        <v>5466</v>
      </c>
      <c r="O1358" s="1">
        <v>11295</v>
      </c>
      <c r="P1358" s="1">
        <v>5829</v>
      </c>
      <c r="Q1358" s="1" t="s">
        <v>42</v>
      </c>
      <c r="S1358" s="1" t="s">
        <v>42</v>
      </c>
      <c r="T1358" s="1" t="s">
        <v>203</v>
      </c>
      <c r="U1358" s="1">
        <v>1</v>
      </c>
      <c r="V1358" s="5">
        <v>43806</v>
      </c>
      <c r="W1358" s="5">
        <v>43265</v>
      </c>
      <c r="X1358" s="1">
        <v>11850000</v>
      </c>
      <c r="Y1358" s="1">
        <v>11850000</v>
      </c>
      <c r="Z1358" s="5">
        <v>42489</v>
      </c>
      <c r="AA1358" s="1">
        <v>11710274</v>
      </c>
      <c r="AB1358" s="1" t="s">
        <v>1050</v>
      </c>
      <c r="AC1358" s="5">
        <v>43294</v>
      </c>
      <c r="AF1358" s="1">
        <v>10013</v>
      </c>
      <c r="AJ1358" s="1">
        <v>2018</v>
      </c>
      <c r="AK1358" s="1" t="s">
        <v>81</v>
      </c>
      <c r="AL1358" s="1">
        <v>46</v>
      </c>
    </row>
    <row r="1359" spans="1:38" x14ac:dyDescent="0.2">
      <c r="A1359" s="2" t="str">
        <f>HYPERLINK("https://www.compass.com/listing/70-vestry-street-unit-phn-manhattan-ny-10013/21054656423666273/","70 Vestry St, Unit PHN")</f>
        <v>70 Vestry St, Unit PHN</v>
      </c>
      <c r="B1359" s="2" t="str">
        <f t="shared" si="244"/>
        <v>70 Vestry St</v>
      </c>
      <c r="C1359" s="1" t="s">
        <v>40</v>
      </c>
      <c r="D1359" s="1" t="s">
        <v>41</v>
      </c>
      <c r="E1359" s="3">
        <v>40735500</v>
      </c>
      <c r="F1359" s="1">
        <v>6222.0100809531004</v>
      </c>
      <c r="G1359" s="1">
        <v>8</v>
      </c>
      <c r="H1359" s="1">
        <v>4</v>
      </c>
      <c r="I1359" s="1">
        <v>5</v>
      </c>
      <c r="J1359" s="1">
        <v>4.5</v>
      </c>
      <c r="K1359" s="1">
        <v>4</v>
      </c>
      <c r="L1359" s="1">
        <v>1</v>
      </c>
      <c r="M1359" s="4">
        <v>6547</v>
      </c>
      <c r="N1359" s="1">
        <v>12435</v>
      </c>
      <c r="O1359" s="1">
        <v>25696</v>
      </c>
      <c r="P1359" s="1">
        <v>13261</v>
      </c>
      <c r="Q1359" s="1" t="s">
        <v>42</v>
      </c>
      <c r="S1359" s="1" t="s">
        <v>42</v>
      </c>
      <c r="T1359" s="1" t="s">
        <v>203</v>
      </c>
      <c r="U1359" s="1">
        <v>1</v>
      </c>
      <c r="V1359" s="5">
        <v>43806</v>
      </c>
      <c r="W1359" s="5">
        <v>43265</v>
      </c>
      <c r="X1359" s="1">
        <v>50000000</v>
      </c>
      <c r="Y1359" s="1">
        <v>50000000</v>
      </c>
      <c r="Z1359" s="5">
        <v>42683</v>
      </c>
      <c r="AA1359" s="1">
        <v>40735500</v>
      </c>
      <c r="AB1359" s="1" t="s">
        <v>1051</v>
      </c>
      <c r="AC1359" s="5">
        <v>43454</v>
      </c>
      <c r="AF1359" s="1">
        <v>10013</v>
      </c>
      <c r="AI1359" s="1" t="s">
        <v>403</v>
      </c>
      <c r="AJ1359" s="1">
        <v>2018</v>
      </c>
      <c r="AK1359" s="1" t="s">
        <v>81</v>
      </c>
      <c r="AL1359" s="1">
        <v>46</v>
      </c>
    </row>
    <row r="1360" spans="1:38" x14ac:dyDescent="0.2">
      <c r="A1360" s="2" t="str">
        <f>HYPERLINK("https://www.compass.com/listing/70-vestry-street-unit-6b-manhattan-ny-10013/21054670826911201/","70 Vestry St, Unit 6B")</f>
        <v>70 Vestry St, Unit 6B</v>
      </c>
      <c r="B1360" s="2" t="str">
        <f t="shared" si="244"/>
        <v>70 Vestry St</v>
      </c>
      <c r="C1360" s="1" t="s">
        <v>40</v>
      </c>
      <c r="D1360" s="1" t="s">
        <v>41</v>
      </c>
      <c r="E1360" s="3">
        <v>12936275</v>
      </c>
      <c r="F1360" s="1">
        <v>3990.2143738433001</v>
      </c>
      <c r="G1360" s="1">
        <v>8</v>
      </c>
      <c r="H1360" s="1">
        <v>4</v>
      </c>
      <c r="I1360" s="1">
        <v>5</v>
      </c>
      <c r="J1360" s="1">
        <v>4.5</v>
      </c>
      <c r="K1360" s="1">
        <v>4</v>
      </c>
      <c r="L1360" s="1">
        <v>1</v>
      </c>
      <c r="M1360" s="4">
        <v>3242</v>
      </c>
      <c r="N1360" s="1">
        <v>5469</v>
      </c>
      <c r="O1360" s="1">
        <v>11302</v>
      </c>
      <c r="P1360" s="1">
        <v>5833</v>
      </c>
      <c r="Q1360" s="1" t="s">
        <v>42</v>
      </c>
      <c r="S1360" s="1" t="s">
        <v>42</v>
      </c>
      <c r="T1360" s="1" t="s">
        <v>203</v>
      </c>
      <c r="U1360" s="1">
        <v>1</v>
      </c>
      <c r="V1360" s="5">
        <v>43806</v>
      </c>
      <c r="W1360" s="5">
        <v>43264</v>
      </c>
      <c r="X1360" s="1">
        <v>12950000</v>
      </c>
      <c r="Y1360" s="1">
        <v>12950000</v>
      </c>
      <c r="Z1360" s="5">
        <v>42608</v>
      </c>
      <c r="AA1360" s="1">
        <v>12936275</v>
      </c>
      <c r="AB1360" s="1" t="s">
        <v>1052</v>
      </c>
      <c r="AC1360" s="5">
        <v>43308</v>
      </c>
      <c r="AF1360" s="1">
        <v>10013</v>
      </c>
      <c r="AI1360" s="1" t="s">
        <v>58</v>
      </c>
      <c r="AJ1360" s="1">
        <v>2018</v>
      </c>
      <c r="AK1360" s="1" t="s">
        <v>81</v>
      </c>
      <c r="AL1360" s="1">
        <v>46</v>
      </c>
    </row>
    <row r="1361" spans="1:38" x14ac:dyDescent="0.2">
      <c r="A1361" s="2" t="str">
        <f>HYPERLINK("https://www.compass.com/listing/70-vestry-street-unit-5a-manhattan-ny-10013/29562992668461649/","70 Vestry St, Unit 5A")</f>
        <v>70 Vestry St, Unit 5A</v>
      </c>
      <c r="B1361" s="2" t="str">
        <f t="shared" si="244"/>
        <v>70 Vestry St</v>
      </c>
      <c r="C1361" s="1" t="s">
        <v>40</v>
      </c>
      <c r="D1361" s="1" t="s">
        <v>41</v>
      </c>
      <c r="E1361" s="3">
        <v>8914187</v>
      </c>
      <c r="F1361" s="1">
        <v>3134.3836146272802</v>
      </c>
      <c r="G1361" s="1">
        <v>8</v>
      </c>
      <c r="H1361" s="1">
        <v>4</v>
      </c>
      <c r="I1361" s="1">
        <v>4</v>
      </c>
      <c r="J1361" s="1">
        <v>4.5</v>
      </c>
      <c r="K1361" s="1">
        <v>4</v>
      </c>
      <c r="L1361" s="1">
        <v>1</v>
      </c>
      <c r="M1361" s="4">
        <v>2844</v>
      </c>
      <c r="N1361" s="1">
        <v>4797</v>
      </c>
      <c r="O1361" s="1">
        <v>9913</v>
      </c>
      <c r="P1361" s="1">
        <v>5116</v>
      </c>
      <c r="Q1361" s="1" t="s">
        <v>42</v>
      </c>
      <c r="S1361" s="1" t="s">
        <v>42</v>
      </c>
      <c r="T1361" s="1" t="s">
        <v>203</v>
      </c>
      <c r="U1361" s="1">
        <v>784</v>
      </c>
      <c r="V1361" s="5">
        <v>43662</v>
      </c>
      <c r="W1361" s="5">
        <v>42481</v>
      </c>
      <c r="X1361" s="1">
        <v>8914187</v>
      </c>
      <c r="Y1361" s="1">
        <v>8750000</v>
      </c>
      <c r="AA1361" s="1">
        <v>8914187</v>
      </c>
      <c r="AB1361" s="1" t="s">
        <v>1053</v>
      </c>
      <c r="AC1361" s="5">
        <v>43664</v>
      </c>
      <c r="AF1361" s="1">
        <v>10013</v>
      </c>
      <c r="AJ1361" s="1">
        <v>2018</v>
      </c>
      <c r="AK1361" s="1" t="s">
        <v>81</v>
      </c>
      <c r="AL1361" s="1">
        <v>46</v>
      </c>
    </row>
    <row r="1362" spans="1:38" x14ac:dyDescent="0.2">
      <c r="A1362" s="2" t="str">
        <f>HYPERLINK("https://www.compass.com/listing/20-renwick-street-unit-10-manhattan-ny-10013/4774137165992983489/","20 Renwick St, Unit 10")</f>
        <v>20 Renwick St, Unit 10</v>
      </c>
      <c r="B1362" s="2" t="str">
        <f>HYPERLINK("https://www.compass.com/building/20-renwick-st-manhattan-ny-10013/281918112016662197/","20 Renwick St")</f>
        <v>20 Renwick St</v>
      </c>
      <c r="C1362" s="1" t="s">
        <v>1054</v>
      </c>
      <c r="D1362" s="1" t="s">
        <v>41</v>
      </c>
      <c r="E1362" s="3">
        <v>1450000</v>
      </c>
      <c r="F1362" s="1">
        <v>1570.9642470205799</v>
      </c>
      <c r="G1362" s="1">
        <v>4</v>
      </c>
      <c r="H1362" s="1">
        <v>2</v>
      </c>
      <c r="I1362" s="1">
        <v>2</v>
      </c>
      <c r="J1362" s="1">
        <v>2</v>
      </c>
      <c r="M1362" s="1">
        <v>923</v>
      </c>
      <c r="N1362" s="1">
        <v>562</v>
      </c>
      <c r="O1362" s="1">
        <v>1045</v>
      </c>
      <c r="P1362" s="1">
        <v>483</v>
      </c>
      <c r="Q1362" s="1" t="s">
        <v>42</v>
      </c>
      <c r="S1362" s="1" t="s">
        <v>42</v>
      </c>
      <c r="T1362" s="1" t="s">
        <v>203</v>
      </c>
      <c r="U1362" s="1">
        <v>93</v>
      </c>
      <c r="V1362" s="5">
        <v>43635</v>
      </c>
      <c r="W1362" s="5">
        <v>42983</v>
      </c>
      <c r="X1362" s="1">
        <v>1795000</v>
      </c>
      <c r="Y1362" s="1">
        <v>1550000</v>
      </c>
      <c r="Z1362" s="5">
        <v>43076</v>
      </c>
      <c r="AA1362" s="1">
        <v>1450000</v>
      </c>
      <c r="AB1362" s="1" t="s">
        <v>1055</v>
      </c>
      <c r="AC1362" s="5">
        <v>43111</v>
      </c>
      <c r="AF1362" s="1">
        <v>10013</v>
      </c>
      <c r="AI1362" s="1" t="s">
        <v>315</v>
      </c>
      <c r="AJ1362" s="1">
        <v>1890</v>
      </c>
      <c r="AL1362" s="1">
        <v>10</v>
      </c>
    </row>
    <row r="1363" spans="1:38" x14ac:dyDescent="0.2">
      <c r="A1363" s="2" t="str">
        <f>HYPERLINK("https://www.compass.com/listing/91-leonard-street-unit-5e-manhattan-ny-10013/34689469248534033/","91 Leonard St, Unit 5E")</f>
        <v>91 Leonard St, Unit 5E</v>
      </c>
      <c r="B1363" s="2" t="str">
        <f t="shared" ref="B1363:B1380" si="245">HYPERLINK("https://www.compass.com/building/91-leonard-manhattan-ny/282058661633754165/","91 Leonard")</f>
        <v>91 Leonard</v>
      </c>
      <c r="C1363" s="1" t="s">
        <v>40</v>
      </c>
      <c r="D1363" s="1" t="s">
        <v>41</v>
      </c>
      <c r="E1363" s="3">
        <v>1413535</v>
      </c>
      <c r="F1363" s="1">
        <v>1581.1349552572699</v>
      </c>
      <c r="G1363" s="1">
        <v>3</v>
      </c>
      <c r="H1363" s="1">
        <v>1</v>
      </c>
      <c r="I1363" s="1">
        <v>1</v>
      </c>
      <c r="J1363" s="1">
        <v>1</v>
      </c>
      <c r="K1363" s="1">
        <v>1</v>
      </c>
      <c r="M1363" s="1">
        <v>894</v>
      </c>
      <c r="N1363" s="1">
        <v>1062</v>
      </c>
      <c r="O1363" s="1">
        <v>2684</v>
      </c>
      <c r="P1363" s="1">
        <v>1622</v>
      </c>
      <c r="Q1363" s="1" t="s">
        <v>42</v>
      </c>
      <c r="S1363" s="1" t="s">
        <v>42</v>
      </c>
      <c r="T1363" s="1" t="s">
        <v>203</v>
      </c>
      <c r="U1363" s="1">
        <v>225</v>
      </c>
      <c r="V1363" s="5">
        <v>44314</v>
      </c>
      <c r="W1363" s="5">
        <v>43074</v>
      </c>
      <c r="X1363" s="1">
        <v>1385000</v>
      </c>
      <c r="Y1363" s="1">
        <v>1460000</v>
      </c>
      <c r="Z1363" s="5">
        <v>43300</v>
      </c>
      <c r="AA1363" s="1">
        <v>1413534.65</v>
      </c>
      <c r="AB1363" s="1" t="s">
        <v>1056</v>
      </c>
      <c r="AC1363" s="5">
        <v>43734</v>
      </c>
      <c r="AF1363" s="1">
        <v>10013</v>
      </c>
      <c r="AI1363" s="1" t="s">
        <v>103</v>
      </c>
      <c r="AJ1363" s="1">
        <v>2016</v>
      </c>
      <c r="AK1363" s="1" t="s">
        <v>81</v>
      </c>
      <c r="AL1363" s="1">
        <v>111</v>
      </c>
    </row>
    <row r="1364" spans="1:38" x14ac:dyDescent="0.2">
      <c r="A1364" s="2" t="str">
        <f>HYPERLINK("https://www.compass.com/listing/91-leonard-street-unit-5f-manhattan-ny-10013/34689471412722433/","91 Leonard St, Unit 5F")</f>
        <v>91 Leonard St, Unit 5F</v>
      </c>
      <c r="B1364" s="2" t="str">
        <f t="shared" si="245"/>
        <v>91 Leonard</v>
      </c>
      <c r="C1364" s="1" t="s">
        <v>40</v>
      </c>
      <c r="D1364" s="1" t="s">
        <v>41</v>
      </c>
      <c r="E1364" s="3">
        <v>1235341</v>
      </c>
      <c r="F1364" s="1">
        <v>1777.4689208632999</v>
      </c>
      <c r="G1364" s="1">
        <v>3</v>
      </c>
      <c r="H1364" s="1">
        <v>1</v>
      </c>
      <c r="I1364" s="1">
        <v>1</v>
      </c>
      <c r="J1364" s="1">
        <v>1</v>
      </c>
      <c r="K1364" s="1">
        <v>1</v>
      </c>
      <c r="M1364" s="1">
        <v>695</v>
      </c>
      <c r="N1364" s="1">
        <v>815</v>
      </c>
      <c r="O1364" s="1">
        <v>2059</v>
      </c>
      <c r="P1364" s="1">
        <v>1244</v>
      </c>
      <c r="Q1364" s="1" t="s">
        <v>42</v>
      </c>
      <c r="S1364" s="1" t="s">
        <v>42</v>
      </c>
      <c r="T1364" s="1" t="s">
        <v>203</v>
      </c>
      <c r="U1364" s="1">
        <v>156</v>
      </c>
      <c r="V1364" s="5">
        <v>44314</v>
      </c>
      <c r="W1364" s="5">
        <v>43143</v>
      </c>
      <c r="X1364" s="1">
        <v>1210000</v>
      </c>
      <c r="Y1364" s="1">
        <v>1210000</v>
      </c>
      <c r="Z1364" s="5">
        <v>43300</v>
      </c>
      <c r="AA1364" s="1">
        <v>1235340.8999999999</v>
      </c>
      <c r="AB1364" s="1" t="s">
        <v>1057</v>
      </c>
      <c r="AC1364" s="5">
        <v>43724</v>
      </c>
      <c r="AF1364" s="1">
        <v>10013</v>
      </c>
      <c r="AI1364" s="1" t="s">
        <v>103</v>
      </c>
      <c r="AJ1364" s="1">
        <v>2016</v>
      </c>
      <c r="AK1364" s="1" t="s">
        <v>81</v>
      </c>
      <c r="AL1364" s="1">
        <v>111</v>
      </c>
    </row>
    <row r="1365" spans="1:38" x14ac:dyDescent="0.2">
      <c r="A1365" s="2" t="str">
        <f>HYPERLINK("https://www.compass.com/listing/91-leonard-street-unit-14d-manhattan-ny-10013/34689473216374865/","91 Leonard St, Unit 14D")</f>
        <v>91 Leonard St, Unit 14D</v>
      </c>
      <c r="B1365" s="2" t="str">
        <f t="shared" si="245"/>
        <v>91 Leonard</v>
      </c>
      <c r="C1365" s="1" t="s">
        <v>40</v>
      </c>
      <c r="D1365" s="1" t="s">
        <v>41</v>
      </c>
      <c r="E1365" s="3">
        <v>1330000</v>
      </c>
      <c r="F1365" s="1">
        <v>1902.71816881258</v>
      </c>
      <c r="G1365" s="1">
        <v>3</v>
      </c>
      <c r="H1365" s="1">
        <v>1</v>
      </c>
      <c r="I1365" s="1">
        <v>1</v>
      </c>
      <c r="J1365" s="1">
        <v>1</v>
      </c>
      <c r="K1365" s="1">
        <v>1</v>
      </c>
      <c r="M1365" s="1">
        <v>699</v>
      </c>
      <c r="N1365" s="1">
        <v>849</v>
      </c>
      <c r="O1365" s="1">
        <v>2146</v>
      </c>
      <c r="P1365" s="1">
        <v>1297</v>
      </c>
      <c r="Q1365" s="1" t="s">
        <v>42</v>
      </c>
      <c r="S1365" s="1" t="s">
        <v>42</v>
      </c>
      <c r="T1365" s="1" t="s">
        <v>203</v>
      </c>
      <c r="V1365" s="5">
        <v>44314</v>
      </c>
      <c r="AA1365" s="1">
        <v>1330000</v>
      </c>
      <c r="AB1365" s="1" t="s">
        <v>204</v>
      </c>
      <c r="AC1365" s="5">
        <v>42743</v>
      </c>
      <c r="AF1365" s="1">
        <v>10013</v>
      </c>
      <c r="AI1365" s="1" t="s">
        <v>103</v>
      </c>
      <c r="AJ1365" s="1">
        <v>2016</v>
      </c>
      <c r="AK1365" s="1" t="s">
        <v>81</v>
      </c>
      <c r="AL1365" s="1">
        <v>111</v>
      </c>
    </row>
    <row r="1366" spans="1:38" x14ac:dyDescent="0.2">
      <c r="A1366" s="2" t="str">
        <f>HYPERLINK("https://www.compass.com/listing/91-leonard-street-unit-6f-manhattan-ny-10013/34689484029188993/","91 Leonard St, Unit 6F")</f>
        <v>91 Leonard St, Unit 6F</v>
      </c>
      <c r="B1366" s="2" t="str">
        <f t="shared" si="245"/>
        <v>91 Leonard</v>
      </c>
      <c r="C1366" s="1" t="s">
        <v>40</v>
      </c>
      <c r="D1366" s="1" t="s">
        <v>41</v>
      </c>
      <c r="E1366" s="3">
        <v>1277904</v>
      </c>
      <c r="F1366" s="1">
        <v>1838.7107913668999</v>
      </c>
      <c r="G1366" s="1">
        <v>3</v>
      </c>
      <c r="H1366" s="1">
        <v>1</v>
      </c>
      <c r="I1366" s="1">
        <v>1</v>
      </c>
      <c r="J1366" s="1">
        <v>1</v>
      </c>
      <c r="K1366" s="1">
        <v>1</v>
      </c>
      <c r="M1366" s="1">
        <v>695</v>
      </c>
      <c r="N1366" s="1">
        <v>815</v>
      </c>
      <c r="O1366" s="1">
        <v>2059</v>
      </c>
      <c r="P1366" s="1">
        <v>1244</v>
      </c>
      <c r="Q1366" s="1" t="s">
        <v>42</v>
      </c>
      <c r="S1366" s="1" t="s">
        <v>42</v>
      </c>
      <c r="T1366" s="1" t="s">
        <v>203</v>
      </c>
      <c r="V1366" s="5">
        <v>44314</v>
      </c>
      <c r="W1366" s="5">
        <v>43315</v>
      </c>
      <c r="X1366" s="1">
        <v>1230000</v>
      </c>
      <c r="Y1366" s="1">
        <v>1230000</v>
      </c>
      <c r="Z1366" s="5">
        <v>43315</v>
      </c>
      <c r="AA1366" s="1">
        <v>1277904</v>
      </c>
      <c r="AB1366" s="1" t="s">
        <v>1058</v>
      </c>
      <c r="AC1366" s="5">
        <v>43767</v>
      </c>
      <c r="AF1366" s="1">
        <v>10013</v>
      </c>
      <c r="AI1366" s="1" t="s">
        <v>103</v>
      </c>
      <c r="AJ1366" s="1">
        <v>2016</v>
      </c>
      <c r="AK1366" s="1" t="s">
        <v>81</v>
      </c>
      <c r="AL1366" s="1">
        <v>111</v>
      </c>
    </row>
    <row r="1367" spans="1:38" x14ac:dyDescent="0.2">
      <c r="A1367" s="2" t="str">
        <f>HYPERLINK("https://www.compass.com/listing/91-leonard-street-unit-3d-manhattan-ny-10013/34689502224181793/","91 Leonard St, Unit 3D")</f>
        <v>91 Leonard St, Unit 3D</v>
      </c>
      <c r="B1367" s="2" t="str">
        <f t="shared" si="245"/>
        <v>91 Leonard</v>
      </c>
      <c r="C1367" s="1" t="s">
        <v>40</v>
      </c>
      <c r="D1367" s="1" t="s">
        <v>41</v>
      </c>
      <c r="E1367" s="3">
        <v>1276071</v>
      </c>
      <c r="F1367" s="1">
        <v>1703.6994659546001</v>
      </c>
      <c r="G1367" s="1">
        <v>3</v>
      </c>
      <c r="H1367" s="1">
        <v>1</v>
      </c>
      <c r="M1367" s="1">
        <v>749</v>
      </c>
      <c r="N1367" s="1">
        <v>877</v>
      </c>
      <c r="O1367" s="1">
        <v>2216</v>
      </c>
      <c r="P1367" s="1">
        <v>1339</v>
      </c>
      <c r="Q1367" s="1" t="s">
        <v>42</v>
      </c>
      <c r="S1367" s="1" t="s">
        <v>42</v>
      </c>
      <c r="T1367" s="1" t="s">
        <v>203</v>
      </c>
      <c r="U1367" s="1">
        <v>126</v>
      </c>
      <c r="V1367" s="5">
        <v>44314</v>
      </c>
      <c r="W1367" s="5">
        <v>43173</v>
      </c>
      <c r="X1367" s="1">
        <v>1250000</v>
      </c>
      <c r="Y1367" s="1">
        <v>1250000</v>
      </c>
      <c r="Z1367" s="5">
        <v>43300</v>
      </c>
      <c r="AA1367" s="1">
        <v>1276070.8999999999</v>
      </c>
      <c r="AB1367" s="1" t="s">
        <v>1059</v>
      </c>
      <c r="AC1367" s="5">
        <v>43707</v>
      </c>
      <c r="AF1367" s="1">
        <v>10013</v>
      </c>
      <c r="AI1367" s="1" t="s">
        <v>103</v>
      </c>
      <c r="AJ1367" s="1">
        <v>2016</v>
      </c>
      <c r="AK1367" s="1" t="s">
        <v>81</v>
      </c>
      <c r="AL1367" s="1">
        <v>111</v>
      </c>
    </row>
    <row r="1368" spans="1:38" x14ac:dyDescent="0.2">
      <c r="A1368" s="2" t="str">
        <f>HYPERLINK("https://www.compass.com/listing/91-leonard-street-unit-13e-manhattan-ny-10013/34689534755091441/","91 Leonard St, Unit 13E")</f>
        <v>91 Leonard St, Unit 13E</v>
      </c>
      <c r="B1368" s="2" t="str">
        <f t="shared" si="245"/>
        <v>91 Leonard</v>
      </c>
      <c r="C1368" s="1" t="s">
        <v>40</v>
      </c>
      <c r="D1368" s="1" t="s">
        <v>41</v>
      </c>
      <c r="E1368" s="3">
        <v>1500137</v>
      </c>
      <c r="F1368" s="1">
        <v>2146.1184692417701</v>
      </c>
      <c r="G1368" s="1">
        <v>2</v>
      </c>
      <c r="H1368" s="1">
        <v>1</v>
      </c>
      <c r="I1368" s="1">
        <v>1</v>
      </c>
      <c r="J1368" s="1">
        <v>1</v>
      </c>
      <c r="K1368" s="1">
        <v>1</v>
      </c>
      <c r="M1368" s="1">
        <v>699</v>
      </c>
      <c r="N1368" s="1">
        <v>839</v>
      </c>
      <c r="O1368" s="1">
        <v>2121</v>
      </c>
      <c r="P1368" s="1">
        <v>1282</v>
      </c>
      <c r="Q1368" s="1" t="s">
        <v>42</v>
      </c>
      <c r="S1368" s="1" t="s">
        <v>42</v>
      </c>
      <c r="T1368" s="1" t="s">
        <v>203</v>
      </c>
      <c r="U1368" s="1">
        <v>92</v>
      </c>
      <c r="V1368" s="5">
        <v>44314</v>
      </c>
      <c r="W1368" s="5">
        <v>43207</v>
      </c>
      <c r="X1368" s="1">
        <v>1470000</v>
      </c>
      <c r="Y1368" s="1">
        <v>1470000</v>
      </c>
      <c r="Z1368" s="5">
        <v>43300</v>
      </c>
      <c r="AA1368" s="1">
        <v>1500136.81</v>
      </c>
      <c r="AB1368" s="1" t="s">
        <v>1060</v>
      </c>
      <c r="AC1368" s="5">
        <v>43748</v>
      </c>
      <c r="AF1368" s="1">
        <v>10013</v>
      </c>
      <c r="AI1368" s="1" t="s">
        <v>103</v>
      </c>
      <c r="AJ1368" s="1">
        <v>2016</v>
      </c>
      <c r="AK1368" s="1" t="s">
        <v>81</v>
      </c>
      <c r="AL1368" s="1">
        <v>111</v>
      </c>
    </row>
    <row r="1369" spans="1:38" x14ac:dyDescent="0.2">
      <c r="A1369" s="2" t="str">
        <f>HYPERLINK("https://www.compass.com/listing/91-leonard-street-unit-4f-manhattan-ny-10013/34689604724472129/","91 Leonard St, Unit 4F")</f>
        <v>91 Leonard St, Unit 4F</v>
      </c>
      <c r="B1369" s="2" t="str">
        <f t="shared" si="245"/>
        <v>91 Leonard</v>
      </c>
      <c r="C1369" s="1" t="s">
        <v>40</v>
      </c>
      <c r="D1369" s="1" t="s">
        <v>41</v>
      </c>
      <c r="E1369" s="3">
        <v>1200000</v>
      </c>
      <c r="F1369" s="1">
        <v>1726.6187050359699</v>
      </c>
      <c r="G1369" s="1">
        <v>3</v>
      </c>
      <c r="H1369" s="1">
        <v>1</v>
      </c>
      <c r="I1369" s="1">
        <v>1</v>
      </c>
      <c r="J1369" s="1">
        <v>1</v>
      </c>
      <c r="K1369" s="1">
        <v>1</v>
      </c>
      <c r="M1369" s="1">
        <v>695</v>
      </c>
      <c r="N1369" s="1">
        <v>810</v>
      </c>
      <c r="O1369" s="1">
        <v>2047</v>
      </c>
      <c r="P1369" s="1">
        <v>1237</v>
      </c>
      <c r="Q1369" s="1" t="s">
        <v>42</v>
      </c>
      <c r="S1369" s="1" t="s">
        <v>42</v>
      </c>
      <c r="T1369" s="1" t="s">
        <v>203</v>
      </c>
      <c r="U1369" s="1">
        <v>109</v>
      </c>
      <c r="V1369" s="5">
        <v>44314</v>
      </c>
      <c r="W1369" s="5">
        <v>43190</v>
      </c>
      <c r="X1369" s="1">
        <v>1200000</v>
      </c>
      <c r="Y1369" s="1">
        <v>1200000</v>
      </c>
      <c r="Z1369" s="5">
        <v>43300</v>
      </c>
      <c r="AA1369" s="1">
        <v>1200000</v>
      </c>
      <c r="AB1369" s="1" t="s">
        <v>1061</v>
      </c>
      <c r="AC1369" s="5">
        <v>43700</v>
      </c>
      <c r="AF1369" s="1">
        <v>10013</v>
      </c>
      <c r="AI1369" s="1" t="s">
        <v>998</v>
      </c>
      <c r="AJ1369" s="1">
        <v>2016</v>
      </c>
      <c r="AK1369" s="1" t="s">
        <v>81</v>
      </c>
      <c r="AL1369" s="1">
        <v>111</v>
      </c>
    </row>
    <row r="1370" spans="1:38" x14ac:dyDescent="0.2">
      <c r="A1370" s="2" t="str">
        <f>HYPERLINK("https://www.compass.com/listing/91-leonard-street-unit-11b-manhattan-ny-10013/34689606016328305/","91 Leonard St, Unit 11B")</f>
        <v>91 Leonard St, Unit 11B</v>
      </c>
      <c r="B1370" s="2" t="str">
        <f t="shared" si="245"/>
        <v>91 Leonard</v>
      </c>
      <c r="C1370" s="1" t="s">
        <v>40</v>
      </c>
      <c r="D1370" s="1" t="s">
        <v>41</v>
      </c>
      <c r="E1370" s="3">
        <v>1622276</v>
      </c>
      <c r="F1370" s="1">
        <v>1917.5838061465699</v>
      </c>
      <c r="G1370" s="1">
        <v>2</v>
      </c>
      <c r="H1370" s="1">
        <v>1</v>
      </c>
      <c r="I1370" s="1">
        <v>1</v>
      </c>
      <c r="J1370" s="1">
        <v>1</v>
      </c>
      <c r="K1370" s="1">
        <v>1</v>
      </c>
      <c r="M1370" s="1">
        <v>846</v>
      </c>
      <c r="N1370" s="1">
        <v>1017</v>
      </c>
      <c r="O1370" s="1">
        <v>2571</v>
      </c>
      <c r="P1370" s="1">
        <v>1554</v>
      </c>
      <c r="Q1370" s="1" t="s">
        <v>42</v>
      </c>
      <c r="S1370" s="1" t="s">
        <v>42</v>
      </c>
      <c r="T1370" s="1" t="s">
        <v>203</v>
      </c>
      <c r="U1370" s="1">
        <v>268</v>
      </c>
      <c r="V1370" s="5">
        <v>44314</v>
      </c>
      <c r="W1370" s="5">
        <v>43031</v>
      </c>
      <c r="X1370" s="1">
        <v>1525000</v>
      </c>
      <c r="Y1370" s="1">
        <v>1715000</v>
      </c>
      <c r="Z1370" s="5">
        <v>43300</v>
      </c>
      <c r="AA1370" s="1">
        <v>1622275.9</v>
      </c>
      <c r="AB1370" s="1" t="s">
        <v>1062</v>
      </c>
      <c r="AC1370" s="5">
        <v>43705</v>
      </c>
      <c r="AF1370" s="1">
        <v>10013</v>
      </c>
      <c r="AI1370" s="1" t="s">
        <v>103</v>
      </c>
      <c r="AJ1370" s="1">
        <v>2016</v>
      </c>
      <c r="AK1370" s="1" t="s">
        <v>81</v>
      </c>
      <c r="AL1370" s="1">
        <v>111</v>
      </c>
    </row>
    <row r="1371" spans="1:38" x14ac:dyDescent="0.2">
      <c r="A1371" s="2" t="str">
        <f>HYPERLINK("https://www.compass.com/listing/91-leonard-street-unit-15d-manhattan-ny-10013/34697253708938305/","91 Leonard St, Unit 15D")</f>
        <v>91 Leonard St, Unit 15D</v>
      </c>
      <c r="B1371" s="2" t="str">
        <f t="shared" si="245"/>
        <v>91 Leonard</v>
      </c>
      <c r="C1371" s="1" t="s">
        <v>40</v>
      </c>
      <c r="D1371" s="1" t="s">
        <v>41</v>
      </c>
      <c r="E1371" s="3">
        <v>1364455</v>
      </c>
      <c r="F1371" s="1">
        <v>1952.01001430615</v>
      </c>
      <c r="G1371" s="1">
        <v>3</v>
      </c>
      <c r="H1371" s="1">
        <v>1</v>
      </c>
      <c r="I1371" s="1">
        <v>1</v>
      </c>
      <c r="J1371" s="1">
        <v>1</v>
      </c>
      <c r="K1371" s="1">
        <v>1</v>
      </c>
      <c r="M1371" s="1">
        <v>699</v>
      </c>
      <c r="N1371" s="1">
        <v>849</v>
      </c>
      <c r="O1371" s="1">
        <v>2146</v>
      </c>
      <c r="P1371" s="1">
        <v>1297</v>
      </c>
      <c r="Q1371" s="1" t="s">
        <v>42</v>
      </c>
      <c r="S1371" s="1" t="s">
        <v>42</v>
      </c>
      <c r="T1371" s="1" t="s">
        <v>203</v>
      </c>
      <c r="U1371" s="1">
        <v>223</v>
      </c>
      <c r="V1371" s="5">
        <v>44314</v>
      </c>
      <c r="W1371" s="5">
        <v>43076</v>
      </c>
      <c r="X1371" s="1">
        <v>1465000</v>
      </c>
      <c r="Y1371" s="1">
        <v>1515000</v>
      </c>
      <c r="Z1371" s="5">
        <v>43300</v>
      </c>
      <c r="AA1371" s="1">
        <v>1364455</v>
      </c>
      <c r="AB1371" s="1" t="s">
        <v>1063</v>
      </c>
      <c r="AC1371" s="5">
        <v>43692</v>
      </c>
      <c r="AF1371" s="1">
        <v>10013</v>
      </c>
      <c r="AI1371" s="1" t="s">
        <v>103</v>
      </c>
      <c r="AJ1371" s="1">
        <v>2016</v>
      </c>
      <c r="AK1371" s="1" t="s">
        <v>81</v>
      </c>
      <c r="AL1371" s="1">
        <v>111</v>
      </c>
    </row>
    <row r="1372" spans="1:38" x14ac:dyDescent="0.2">
      <c r="A1372" s="2" t="str">
        <f>HYPERLINK("https://www.compass.com/listing/91-leonard-street-unit-16d-manhattan-ny-10013/34697261753596481/","91 Leonard St, Unit 16D")</f>
        <v>91 Leonard St, Unit 16D</v>
      </c>
      <c r="B1372" s="2" t="str">
        <f t="shared" si="245"/>
        <v>91 Leonard</v>
      </c>
      <c r="C1372" s="1" t="s">
        <v>40</v>
      </c>
      <c r="D1372" s="1" t="s">
        <v>41</v>
      </c>
      <c r="E1372" s="3">
        <v>1471779</v>
      </c>
      <c r="F1372" s="1">
        <v>2105.54935622317</v>
      </c>
      <c r="G1372" s="1">
        <v>3</v>
      </c>
      <c r="H1372" s="1">
        <v>1</v>
      </c>
      <c r="I1372" s="1">
        <v>1</v>
      </c>
      <c r="J1372" s="1">
        <v>1</v>
      </c>
      <c r="K1372" s="1">
        <v>1</v>
      </c>
      <c r="M1372" s="1">
        <v>699</v>
      </c>
      <c r="N1372" s="1">
        <v>854</v>
      </c>
      <c r="O1372" s="1">
        <v>2159</v>
      </c>
      <c r="P1372" s="1">
        <v>1305</v>
      </c>
      <c r="Q1372" s="1" t="s">
        <v>42</v>
      </c>
      <c r="S1372" s="1" t="s">
        <v>42</v>
      </c>
      <c r="T1372" s="1" t="s">
        <v>203</v>
      </c>
      <c r="V1372" s="5">
        <v>44314</v>
      </c>
      <c r="W1372" s="5">
        <v>43315</v>
      </c>
      <c r="X1372" s="1">
        <v>1535000</v>
      </c>
      <c r="Y1372" s="1">
        <v>1535000</v>
      </c>
      <c r="Z1372" s="5">
        <v>43315</v>
      </c>
      <c r="AA1372" s="1">
        <v>1471779</v>
      </c>
      <c r="AB1372" s="1" t="s">
        <v>1064</v>
      </c>
      <c r="AC1372" s="5">
        <v>43760</v>
      </c>
      <c r="AF1372" s="1">
        <v>10013</v>
      </c>
      <c r="AI1372" s="1" t="s">
        <v>998</v>
      </c>
      <c r="AJ1372" s="1">
        <v>2016</v>
      </c>
      <c r="AK1372" s="1" t="s">
        <v>81</v>
      </c>
      <c r="AL1372" s="1">
        <v>111</v>
      </c>
    </row>
    <row r="1373" spans="1:38" x14ac:dyDescent="0.2">
      <c r="A1373" s="2" t="str">
        <f>HYPERLINK("https://www.compass.com/listing/91-leonard-street-unit-12e-manhattan-ny-10013/34697262030420929/","91 Leonard St, Unit 12E")</f>
        <v>91 Leonard St, Unit 12E</v>
      </c>
      <c r="B1373" s="2" t="str">
        <f t="shared" si="245"/>
        <v>91 Leonard</v>
      </c>
      <c r="C1373" s="1" t="s">
        <v>40</v>
      </c>
      <c r="D1373" s="1" t="s">
        <v>41</v>
      </c>
      <c r="E1373" s="3">
        <v>1360000</v>
      </c>
      <c r="F1373" s="1">
        <v>1945.63662374821</v>
      </c>
      <c r="G1373" s="1">
        <v>3</v>
      </c>
      <c r="H1373" s="1">
        <v>1</v>
      </c>
      <c r="I1373" s="1">
        <v>1</v>
      </c>
      <c r="J1373" s="1">
        <v>1</v>
      </c>
      <c r="K1373" s="1">
        <v>1</v>
      </c>
      <c r="M1373" s="1">
        <v>699</v>
      </c>
      <c r="N1373" s="1">
        <v>834</v>
      </c>
      <c r="O1373" s="1">
        <v>2109</v>
      </c>
      <c r="P1373" s="1">
        <v>1275</v>
      </c>
      <c r="Q1373" s="1" t="s">
        <v>42</v>
      </c>
      <c r="S1373" s="1" t="s">
        <v>42</v>
      </c>
      <c r="T1373" s="1" t="s">
        <v>203</v>
      </c>
      <c r="V1373" s="5">
        <v>44314</v>
      </c>
      <c r="AA1373" s="1">
        <v>1360000</v>
      </c>
      <c r="AB1373" s="1" t="s">
        <v>204</v>
      </c>
      <c r="AC1373" s="5">
        <v>43068</v>
      </c>
      <c r="AF1373" s="1">
        <v>10013</v>
      </c>
      <c r="AI1373" s="1" t="s">
        <v>103</v>
      </c>
      <c r="AJ1373" s="1">
        <v>2016</v>
      </c>
      <c r="AK1373" s="1" t="s">
        <v>81</v>
      </c>
      <c r="AL1373" s="1">
        <v>111</v>
      </c>
    </row>
    <row r="1374" spans="1:38" x14ac:dyDescent="0.2">
      <c r="A1374" s="2" t="str">
        <f>HYPERLINK("https://www.compass.com/listing/91-leonard-street-unit-8e-manhattan-ny-10013/34697997694568353/","91 Leonard St, Unit 8E")</f>
        <v>91 Leonard St, Unit 8E</v>
      </c>
      <c r="B1374" s="2" t="str">
        <f t="shared" si="245"/>
        <v>91 Leonard</v>
      </c>
      <c r="C1374" s="1" t="s">
        <v>40</v>
      </c>
      <c r="D1374" s="1" t="s">
        <v>41</v>
      </c>
      <c r="E1374" s="3">
        <v>1270400</v>
      </c>
      <c r="F1374" s="1">
        <v>1817.4535050071499</v>
      </c>
      <c r="G1374" s="1">
        <v>3</v>
      </c>
      <c r="H1374" s="1">
        <v>1</v>
      </c>
      <c r="I1374" s="1">
        <v>1</v>
      </c>
      <c r="J1374" s="1">
        <v>1</v>
      </c>
      <c r="K1374" s="1">
        <v>1</v>
      </c>
      <c r="M1374" s="1">
        <v>699</v>
      </c>
      <c r="N1374" s="1">
        <v>830</v>
      </c>
      <c r="O1374" s="1">
        <v>2112</v>
      </c>
      <c r="P1374" s="1">
        <v>1282</v>
      </c>
      <c r="Q1374" s="1" t="s">
        <v>42</v>
      </c>
      <c r="S1374" s="1" t="s">
        <v>42</v>
      </c>
      <c r="T1374" s="1" t="s">
        <v>203</v>
      </c>
      <c r="U1374" s="1">
        <v>223</v>
      </c>
      <c r="V1374" s="5">
        <v>44314</v>
      </c>
      <c r="W1374" s="5">
        <v>43076</v>
      </c>
      <c r="X1374" s="1">
        <v>1370000</v>
      </c>
      <c r="Y1374" s="1">
        <v>1370000</v>
      </c>
      <c r="Z1374" s="5">
        <v>43300</v>
      </c>
      <c r="AA1374" s="1">
        <v>1270400</v>
      </c>
      <c r="AB1374" s="1" t="s">
        <v>1065</v>
      </c>
      <c r="AC1374" s="5">
        <v>43763</v>
      </c>
      <c r="AF1374" s="1">
        <v>10013</v>
      </c>
      <c r="AI1374" s="1" t="s">
        <v>103</v>
      </c>
      <c r="AJ1374" s="1">
        <v>2016</v>
      </c>
      <c r="AK1374" s="1" t="s">
        <v>81</v>
      </c>
      <c r="AL1374" s="1">
        <v>111</v>
      </c>
    </row>
    <row r="1375" spans="1:38" x14ac:dyDescent="0.2">
      <c r="A1375" s="2" t="str">
        <f>HYPERLINK("https://www.compass.com/listing/91-leonard-street-unit-9e-manhattan-ny-10013/34697998155942609/","91 Leonard St, Unit 9E")</f>
        <v>91 Leonard St, Unit 9E</v>
      </c>
      <c r="B1375" s="2" t="str">
        <f t="shared" si="245"/>
        <v>91 Leonard</v>
      </c>
      <c r="C1375" s="1" t="s">
        <v>40</v>
      </c>
      <c r="D1375" s="1" t="s">
        <v>41</v>
      </c>
      <c r="E1375" s="3">
        <v>1357531</v>
      </c>
      <c r="F1375" s="1">
        <v>1942.10443490701</v>
      </c>
      <c r="G1375" s="1">
        <v>2</v>
      </c>
      <c r="H1375" s="1">
        <v>1</v>
      </c>
      <c r="I1375" s="1">
        <v>1</v>
      </c>
      <c r="J1375" s="1">
        <v>1</v>
      </c>
      <c r="K1375" s="1">
        <v>1</v>
      </c>
      <c r="M1375" s="1">
        <v>699</v>
      </c>
      <c r="N1375" s="1">
        <v>830</v>
      </c>
      <c r="O1375" s="1">
        <v>2112</v>
      </c>
      <c r="P1375" s="1">
        <v>1282</v>
      </c>
      <c r="Q1375" s="1" t="s">
        <v>42</v>
      </c>
      <c r="S1375" s="1" t="s">
        <v>42</v>
      </c>
      <c r="T1375" s="1" t="s">
        <v>203</v>
      </c>
      <c r="V1375" s="5">
        <v>44314</v>
      </c>
      <c r="W1375" s="5">
        <v>43315</v>
      </c>
      <c r="X1375" s="1">
        <v>1380000</v>
      </c>
      <c r="Y1375" s="1">
        <v>1380000</v>
      </c>
      <c r="Z1375" s="5">
        <v>43315</v>
      </c>
      <c r="AA1375" s="1">
        <v>1357531</v>
      </c>
      <c r="AB1375" s="1" t="s">
        <v>1066</v>
      </c>
      <c r="AC1375" s="5">
        <v>43791</v>
      </c>
      <c r="AF1375" s="1">
        <v>10013</v>
      </c>
      <c r="AI1375" s="1" t="s">
        <v>998</v>
      </c>
      <c r="AJ1375" s="1">
        <v>2016</v>
      </c>
      <c r="AK1375" s="1" t="s">
        <v>81</v>
      </c>
      <c r="AL1375" s="1">
        <v>111</v>
      </c>
    </row>
    <row r="1376" spans="1:38" x14ac:dyDescent="0.2">
      <c r="A1376" s="2" t="str">
        <f>HYPERLINK("https://www.compass.com/listing/91-leonard-street-unit-7f-manhattan-ny-10013/34698236535106737/","91 Leonard St, Unit 7F")</f>
        <v>91 Leonard St, Unit 7F</v>
      </c>
      <c r="B1376" s="2" t="str">
        <f t="shared" si="245"/>
        <v>91 Leonard</v>
      </c>
      <c r="C1376" s="1" t="s">
        <v>40</v>
      </c>
      <c r="D1376" s="1" t="s">
        <v>41</v>
      </c>
      <c r="E1376" s="3">
        <v>1225158</v>
      </c>
      <c r="F1376" s="1">
        <v>1762.8172661870501</v>
      </c>
      <c r="G1376" s="1">
        <v>3</v>
      </c>
      <c r="H1376" s="1">
        <v>1</v>
      </c>
      <c r="I1376" s="1">
        <v>1</v>
      </c>
      <c r="J1376" s="1">
        <v>1</v>
      </c>
      <c r="K1376" s="1">
        <v>1</v>
      </c>
      <c r="M1376" s="1">
        <v>695</v>
      </c>
      <c r="N1376" s="1">
        <v>815</v>
      </c>
      <c r="O1376" s="1">
        <v>2074</v>
      </c>
      <c r="P1376" s="1">
        <v>1259</v>
      </c>
      <c r="Q1376" s="1" t="s">
        <v>42</v>
      </c>
      <c r="S1376" s="1" t="s">
        <v>42</v>
      </c>
      <c r="T1376" s="1" t="s">
        <v>203</v>
      </c>
      <c r="U1376" s="1">
        <v>222</v>
      </c>
      <c r="V1376" s="5">
        <v>44314</v>
      </c>
      <c r="W1376" s="5">
        <v>43076</v>
      </c>
      <c r="X1376" s="1">
        <v>1250000</v>
      </c>
      <c r="Y1376" s="1">
        <v>1250000</v>
      </c>
      <c r="Z1376" s="5">
        <v>43299</v>
      </c>
      <c r="AA1376" s="1">
        <v>1225158</v>
      </c>
      <c r="AB1376" s="1" t="s">
        <v>1067</v>
      </c>
      <c r="AC1376" s="5">
        <v>43721</v>
      </c>
      <c r="AF1376" s="1">
        <v>10013</v>
      </c>
      <c r="AI1376" s="1" t="s">
        <v>103</v>
      </c>
      <c r="AJ1376" s="1">
        <v>2016</v>
      </c>
      <c r="AK1376" s="1" t="s">
        <v>81</v>
      </c>
      <c r="AL1376" s="1">
        <v>111</v>
      </c>
    </row>
    <row r="1377" spans="1:38" x14ac:dyDescent="0.2">
      <c r="A1377" s="2" t="str">
        <f>HYPERLINK("https://www.compass.com/listing/91-leonard-street-unit-13e-manhattan-ny-10013/384662177496172849/","91 Leonard St, Unit 13E")</f>
        <v>91 Leonard St, Unit 13E</v>
      </c>
      <c r="B1377" s="2" t="str">
        <f t="shared" si="245"/>
        <v>91 Leonard</v>
      </c>
      <c r="C1377" s="1" t="s">
        <v>40</v>
      </c>
      <c r="D1377" s="1" t="s">
        <v>41</v>
      </c>
      <c r="E1377" s="3">
        <v>1500136</v>
      </c>
      <c r="F1377" s="1">
        <v>2146.1173104434902</v>
      </c>
      <c r="G1377" s="1">
        <v>2</v>
      </c>
      <c r="H1377" s="1">
        <v>1</v>
      </c>
      <c r="I1377" s="1">
        <v>1</v>
      </c>
      <c r="J1377" s="1">
        <v>1</v>
      </c>
      <c r="K1377" s="1">
        <v>1</v>
      </c>
      <c r="M1377" s="1">
        <v>699</v>
      </c>
      <c r="N1377" s="1">
        <v>839</v>
      </c>
      <c r="O1377" s="1">
        <v>2121</v>
      </c>
      <c r="P1377" s="1">
        <v>1282</v>
      </c>
      <c r="S1377" s="1" t="s">
        <v>42</v>
      </c>
      <c r="T1377" s="1" t="s">
        <v>203</v>
      </c>
      <c r="U1377" s="1">
        <v>18</v>
      </c>
      <c r="V1377" s="5">
        <v>43784</v>
      </c>
      <c r="W1377" s="5">
        <v>43764</v>
      </c>
      <c r="X1377" s="1">
        <v>1470000</v>
      </c>
      <c r="Y1377" s="1">
        <v>1470000</v>
      </c>
      <c r="AA1377" s="1">
        <v>1500136</v>
      </c>
      <c r="AB1377" s="1" t="s">
        <v>204</v>
      </c>
      <c r="AC1377" s="5">
        <v>43782</v>
      </c>
      <c r="AF1377" s="1">
        <v>10013</v>
      </c>
      <c r="AI1377" s="1" t="s">
        <v>761</v>
      </c>
      <c r="AJ1377" s="1">
        <v>2016</v>
      </c>
      <c r="AK1377" s="1" t="s">
        <v>121</v>
      </c>
      <c r="AL1377" s="1">
        <v>111</v>
      </c>
    </row>
    <row r="1378" spans="1:38" x14ac:dyDescent="0.2">
      <c r="A1378" s="2" t="str">
        <f>HYPERLINK("https://www.compass.com/listing/91-leonard-street-unit-13a-manhattan-ny-10013/594308161883068121/","91 Leonard St, Unit 13A")</f>
        <v>91 Leonard St, Unit 13A</v>
      </c>
      <c r="B1378" s="2" t="str">
        <f t="shared" si="245"/>
        <v>91 Leonard</v>
      </c>
      <c r="C1378" s="1" t="s">
        <v>40</v>
      </c>
      <c r="D1378" s="1" t="s">
        <v>41</v>
      </c>
      <c r="E1378" s="3">
        <v>2900000</v>
      </c>
      <c r="F1378" s="1">
        <v>1964.76964769647</v>
      </c>
      <c r="G1378" s="1">
        <v>5</v>
      </c>
      <c r="H1378" s="1">
        <v>2</v>
      </c>
      <c r="I1378" s="1">
        <v>3</v>
      </c>
      <c r="J1378" s="1">
        <v>2.5</v>
      </c>
      <c r="K1378" s="1">
        <v>2</v>
      </c>
      <c r="L1378" s="1">
        <v>1</v>
      </c>
      <c r="M1378" s="4">
        <v>1476</v>
      </c>
      <c r="N1378" s="1">
        <v>1806</v>
      </c>
      <c r="O1378" s="1">
        <v>3763</v>
      </c>
      <c r="P1378" s="1">
        <v>1957</v>
      </c>
      <c r="Q1378" s="1" t="s">
        <v>42</v>
      </c>
      <c r="S1378" s="1" t="s">
        <v>42</v>
      </c>
      <c r="T1378" s="1" t="s">
        <v>203</v>
      </c>
      <c r="U1378" s="1">
        <v>225</v>
      </c>
      <c r="V1378" s="5">
        <v>44314</v>
      </c>
      <c r="W1378" s="5">
        <v>44060</v>
      </c>
      <c r="AA1378" s="1">
        <v>2900000</v>
      </c>
      <c r="AB1378" s="1" t="s">
        <v>1008</v>
      </c>
      <c r="AC1378" s="5">
        <v>44285</v>
      </c>
      <c r="AF1378" s="1">
        <v>10013</v>
      </c>
      <c r="AI1378" s="1" t="s">
        <v>103</v>
      </c>
      <c r="AJ1378" s="1">
        <v>2016</v>
      </c>
      <c r="AK1378" s="1" t="s">
        <v>81</v>
      </c>
      <c r="AL1378" s="1">
        <v>111</v>
      </c>
    </row>
    <row r="1379" spans="1:38" x14ac:dyDescent="0.2">
      <c r="A1379" s="2" t="str">
        <f>HYPERLINK("https://www.compass.com/listing/91-leonard-street-unit-12f-manhattan-ny-10013/267227203417164385/","91 Leonard St, Unit 12F")</f>
        <v>91 Leonard St, Unit 12F</v>
      </c>
      <c r="B1379" s="2" t="str">
        <f t="shared" si="245"/>
        <v>91 Leonard</v>
      </c>
      <c r="C1379" s="1" t="s">
        <v>40</v>
      </c>
      <c r="D1379" s="1" t="s">
        <v>41</v>
      </c>
      <c r="E1379" s="3">
        <v>3753200</v>
      </c>
      <c r="F1379" s="1">
        <v>1979.5358649789</v>
      </c>
      <c r="G1379" s="1">
        <v>5</v>
      </c>
      <c r="H1379" s="1">
        <v>3</v>
      </c>
      <c r="I1379" s="1">
        <v>3</v>
      </c>
      <c r="J1379" s="1">
        <v>2.5</v>
      </c>
      <c r="K1379" s="1">
        <v>2</v>
      </c>
      <c r="L1379" s="1">
        <v>1</v>
      </c>
      <c r="M1379" s="4">
        <v>1896</v>
      </c>
      <c r="N1379" s="1">
        <v>2323</v>
      </c>
      <c r="O1379" s="1">
        <v>5871</v>
      </c>
      <c r="P1379" s="1">
        <v>3548</v>
      </c>
      <c r="Q1379" s="1" t="s">
        <v>42</v>
      </c>
      <c r="S1379" s="1" t="s">
        <v>42</v>
      </c>
      <c r="T1379" s="1" t="s">
        <v>203</v>
      </c>
      <c r="U1379" s="1">
        <v>13</v>
      </c>
      <c r="V1379" s="5">
        <v>44314</v>
      </c>
      <c r="W1379" s="5">
        <v>43621</v>
      </c>
      <c r="X1379" s="1">
        <v>3960000</v>
      </c>
      <c r="Y1379" s="1">
        <v>3960000</v>
      </c>
      <c r="Z1379" s="5">
        <v>43634</v>
      </c>
      <c r="AA1379" s="1">
        <v>3753200</v>
      </c>
      <c r="AB1379" s="1" t="s">
        <v>1068</v>
      </c>
      <c r="AC1379" s="5">
        <v>43755</v>
      </c>
      <c r="AF1379" s="1">
        <v>10013</v>
      </c>
      <c r="AI1379" s="1" t="s">
        <v>103</v>
      </c>
      <c r="AJ1379" s="1">
        <v>2016</v>
      </c>
      <c r="AK1379" s="1" t="s">
        <v>81</v>
      </c>
      <c r="AL1379" s="1">
        <v>111</v>
      </c>
    </row>
    <row r="1380" spans="1:38" x14ac:dyDescent="0.2">
      <c r="A1380" s="2" t="str">
        <f>HYPERLINK("https://www.compass.com/listing/91-leonard-street-unit-17b-manhattan-ny-10013/803434265748253561/","91 Leonard St, Unit 17B")</f>
        <v>91 Leonard St, Unit 17B</v>
      </c>
      <c r="B1380" s="2" t="str">
        <f t="shared" si="245"/>
        <v>91 Leonard</v>
      </c>
      <c r="C1380" s="1" t="s">
        <v>40</v>
      </c>
      <c r="D1380" s="1" t="s">
        <v>41</v>
      </c>
      <c r="E1380" s="3">
        <v>3690000</v>
      </c>
      <c r="F1380" s="1">
        <v>2335.44303797468</v>
      </c>
      <c r="G1380" s="1">
        <v>5</v>
      </c>
      <c r="H1380" s="1">
        <v>2</v>
      </c>
      <c r="I1380" s="1">
        <v>3</v>
      </c>
      <c r="J1380" s="1">
        <v>2.5</v>
      </c>
      <c r="K1380" s="1">
        <v>2</v>
      </c>
      <c r="L1380" s="1">
        <v>1</v>
      </c>
      <c r="M1380" s="4">
        <v>1580</v>
      </c>
      <c r="N1380" s="1">
        <v>1955</v>
      </c>
      <c r="O1380" s="1">
        <v>4941</v>
      </c>
      <c r="P1380" s="1">
        <v>2986</v>
      </c>
      <c r="Q1380" s="1" t="s">
        <v>42</v>
      </c>
      <c r="S1380" s="1" t="s">
        <v>42</v>
      </c>
      <c r="T1380" s="1" t="s">
        <v>203</v>
      </c>
      <c r="U1380" s="1">
        <v>5</v>
      </c>
      <c r="V1380" s="5">
        <v>44314</v>
      </c>
      <c r="W1380" s="5">
        <v>43076</v>
      </c>
      <c r="X1380" s="1">
        <v>3690000</v>
      </c>
      <c r="Y1380" s="1">
        <v>3690000</v>
      </c>
      <c r="AA1380" s="1">
        <v>3690000</v>
      </c>
      <c r="AB1380" s="1" t="s">
        <v>204</v>
      </c>
      <c r="AC1380" s="5">
        <v>43081</v>
      </c>
      <c r="AF1380" s="1">
        <v>10013</v>
      </c>
      <c r="AI1380" s="1" t="s">
        <v>103</v>
      </c>
      <c r="AJ1380" s="1">
        <v>2016</v>
      </c>
      <c r="AK1380" s="1" t="s">
        <v>81</v>
      </c>
      <c r="AL1380" s="1">
        <v>111</v>
      </c>
    </row>
    <row r="1381" spans="1:38" x14ac:dyDescent="0.2">
      <c r="A1381" s="2" t="str">
        <f>HYPERLINK("https://www.compass.com/listing/70-vestry-street-unit-5e-manhattan-ny-10013/568100537369798129/","70 Vestry St, Unit 5E")</f>
        <v>70 Vestry St, Unit 5E</v>
      </c>
      <c r="B1381" s="2" t="str">
        <f>HYPERLINK("https://www.compass.com/building/70-vestry-st-manhattan-ny-10013/281921126949489413/","70 Vestry St")</f>
        <v>70 Vestry St</v>
      </c>
      <c r="C1381" s="1" t="s">
        <v>40</v>
      </c>
      <c r="D1381" s="1" t="s">
        <v>41</v>
      </c>
      <c r="E1381" s="3">
        <v>11500000</v>
      </c>
      <c r="F1381" s="1">
        <v>3878.58347386172</v>
      </c>
      <c r="G1381" s="1">
        <v>5.5</v>
      </c>
      <c r="H1381" s="1">
        <v>3</v>
      </c>
      <c r="I1381" s="1">
        <v>4</v>
      </c>
      <c r="J1381" s="1">
        <v>3.5</v>
      </c>
      <c r="K1381" s="1">
        <v>3</v>
      </c>
      <c r="L1381" s="1">
        <v>1</v>
      </c>
      <c r="M1381" s="4">
        <v>2965</v>
      </c>
      <c r="N1381" s="1">
        <v>5775</v>
      </c>
      <c r="O1381" s="1">
        <v>10424</v>
      </c>
      <c r="P1381" s="1">
        <v>4649</v>
      </c>
      <c r="Q1381" s="1" t="s">
        <v>42</v>
      </c>
      <c r="S1381" s="1" t="s">
        <v>42</v>
      </c>
      <c r="T1381" s="1" t="s">
        <v>203</v>
      </c>
      <c r="U1381" s="1">
        <v>270</v>
      </c>
      <c r="V1381" s="5">
        <v>44420</v>
      </c>
      <c r="W1381" s="5">
        <v>44036</v>
      </c>
      <c r="X1381" s="1">
        <v>13200000</v>
      </c>
      <c r="Y1381" s="1">
        <v>12900000</v>
      </c>
      <c r="Z1381" s="5">
        <v>44306</v>
      </c>
      <c r="AA1381" s="1">
        <v>11500000</v>
      </c>
      <c r="AB1381" s="1" t="s">
        <v>204</v>
      </c>
      <c r="AC1381" s="5">
        <v>44420</v>
      </c>
      <c r="AF1381" s="1">
        <v>10013</v>
      </c>
      <c r="AJ1381" s="1">
        <v>2018</v>
      </c>
      <c r="AK1381" s="1" t="s">
        <v>81</v>
      </c>
      <c r="AL1381" s="1">
        <v>46</v>
      </c>
    </row>
    <row r="1382" spans="1:38" x14ac:dyDescent="0.2">
      <c r="A1382" s="2" t="str">
        <f>HYPERLINK("https://www.compass.com/listing/93-reade-street-unit-3-manhattan-ny-10013/50869584927962353/","93 Reade St, Unit 3")</f>
        <v>93 Reade St, Unit 3</v>
      </c>
      <c r="B1382" s="2" t="str">
        <f>HYPERLINK("https://www.compass.com/building/obsidian-house-manhattan-ny/281921586796203349/","Obsidian House")</f>
        <v>Obsidian House</v>
      </c>
      <c r="C1382" s="1" t="s">
        <v>40</v>
      </c>
      <c r="D1382" s="1" t="s">
        <v>41</v>
      </c>
      <c r="E1382" s="3">
        <v>3108413</v>
      </c>
      <c r="F1382" s="1">
        <v>2118.8909338786598</v>
      </c>
      <c r="G1382" s="1">
        <v>4</v>
      </c>
      <c r="H1382" s="1">
        <v>2</v>
      </c>
      <c r="I1382" s="1">
        <v>2</v>
      </c>
      <c r="J1382" s="1">
        <v>2</v>
      </c>
      <c r="K1382" s="1">
        <v>2</v>
      </c>
      <c r="M1382" s="4">
        <v>1467</v>
      </c>
      <c r="N1382" s="1">
        <v>1672</v>
      </c>
      <c r="O1382" s="1">
        <v>3201</v>
      </c>
      <c r="P1382" s="1">
        <v>1529</v>
      </c>
      <c r="Q1382" s="1" t="s">
        <v>42</v>
      </c>
      <c r="S1382" s="1" t="s">
        <v>42</v>
      </c>
      <c r="T1382" s="1" t="s">
        <v>203</v>
      </c>
      <c r="U1382" s="1">
        <v>90</v>
      </c>
      <c r="V1382" s="5">
        <v>43676</v>
      </c>
      <c r="W1382" s="5">
        <v>42102</v>
      </c>
      <c r="X1382" s="1">
        <v>2950000</v>
      </c>
      <c r="Y1382" s="1">
        <v>3050000</v>
      </c>
      <c r="Z1382" s="5">
        <v>42192</v>
      </c>
      <c r="AA1382" s="1">
        <v>3108413</v>
      </c>
      <c r="AB1382" s="1" t="s">
        <v>1069</v>
      </c>
      <c r="AC1382" s="5">
        <v>42539</v>
      </c>
      <c r="AF1382" s="1">
        <v>10013</v>
      </c>
      <c r="AI1382" s="1" t="s">
        <v>58</v>
      </c>
      <c r="AJ1382" s="1">
        <v>1857</v>
      </c>
      <c r="AK1382" s="1" t="s">
        <v>61</v>
      </c>
      <c r="AL1382" s="1">
        <v>4</v>
      </c>
    </row>
    <row r="1383" spans="1:38" x14ac:dyDescent="0.2">
      <c r="A1383" s="2" t="str">
        <f>HYPERLINK("https://www.compass.com/listing/134-west-83rd-street-unit-ph-manhattan-ny-10024/177432109684668449/","134 W 83rd St, Unit PH")</f>
        <v>134 W 83rd St, Unit PH</v>
      </c>
      <c r="B1383" s="2" t="str">
        <f>HYPERLINK("https://www.compass.com/building/134-w-83rd-st-manhattan-ny-10024/281962412213611461/","134 W 83rd St")</f>
        <v>134 W 83rd St</v>
      </c>
      <c r="C1383" s="1" t="s">
        <v>47</v>
      </c>
      <c r="D1383" s="1" t="s">
        <v>41</v>
      </c>
      <c r="E1383" s="3">
        <v>5725000</v>
      </c>
      <c r="F1383" s="1">
        <v>2279.06050955414</v>
      </c>
      <c r="G1383" s="1">
        <v>10</v>
      </c>
      <c r="H1383" s="1">
        <v>5</v>
      </c>
      <c r="I1383" s="1">
        <v>5</v>
      </c>
      <c r="J1383" s="1">
        <v>4.5</v>
      </c>
      <c r="K1383" s="1">
        <v>4</v>
      </c>
      <c r="L1383" s="1">
        <v>1</v>
      </c>
      <c r="M1383" s="4">
        <v>2512</v>
      </c>
      <c r="N1383" s="1">
        <v>1353</v>
      </c>
      <c r="O1383" s="1">
        <v>4608</v>
      </c>
      <c r="P1383" s="1">
        <v>3255</v>
      </c>
      <c r="Q1383" s="1" t="s">
        <v>42</v>
      </c>
      <c r="S1383" s="1" t="s">
        <v>42</v>
      </c>
      <c r="T1383" s="1" t="s">
        <v>203</v>
      </c>
      <c r="U1383" s="1">
        <v>121</v>
      </c>
      <c r="V1383" s="5">
        <v>43724</v>
      </c>
      <c r="W1383" s="5">
        <v>43497</v>
      </c>
      <c r="X1383" s="1">
        <v>5995000</v>
      </c>
      <c r="Y1383" s="1">
        <v>5995000</v>
      </c>
      <c r="Z1383" s="5">
        <v>43618</v>
      </c>
      <c r="AA1383" s="1">
        <v>5725000</v>
      </c>
      <c r="AB1383" s="1" t="s">
        <v>204</v>
      </c>
      <c r="AC1383" s="5">
        <v>43713</v>
      </c>
      <c r="AF1383" s="1">
        <v>10024</v>
      </c>
      <c r="AI1383" s="1" t="s">
        <v>1070</v>
      </c>
      <c r="AJ1383" s="1">
        <v>2018</v>
      </c>
      <c r="AK1383" s="1" t="s">
        <v>61</v>
      </c>
      <c r="AL1383" s="1">
        <v>6</v>
      </c>
    </row>
    <row r="1384" spans="1:38" x14ac:dyDescent="0.2">
      <c r="A1384" s="2" t="str">
        <f>HYPERLINK("https://www.compass.com/listing/91-leonard-street-unit-14e-manhattan-ny-10013/34689572696777041/","91 Leonard St, Unit 14E")</f>
        <v>91 Leonard St, Unit 14E</v>
      </c>
      <c r="B1384" s="2" t="str">
        <f>HYPERLINK("https://www.compass.com/building/91-leonard-manhattan-ny/282058661633754165/","91 Leonard")</f>
        <v>91 Leonard</v>
      </c>
      <c r="C1384" s="1" t="s">
        <v>40</v>
      </c>
      <c r="D1384" s="1" t="s">
        <v>41</v>
      </c>
      <c r="E1384" s="3">
        <v>3958673</v>
      </c>
      <c r="F1384" s="1">
        <v>2087.9075158227802</v>
      </c>
      <c r="G1384" s="1">
        <v>7</v>
      </c>
      <c r="H1384" s="1">
        <v>3</v>
      </c>
      <c r="I1384" s="1">
        <v>3</v>
      </c>
      <c r="J1384" s="1">
        <v>3</v>
      </c>
      <c r="K1384" s="1">
        <v>3</v>
      </c>
      <c r="M1384" s="4">
        <v>1896</v>
      </c>
      <c r="N1384" s="1">
        <v>2338</v>
      </c>
      <c r="O1384" s="1">
        <v>5908</v>
      </c>
      <c r="P1384" s="1">
        <v>3570</v>
      </c>
      <c r="Q1384" s="1" t="s">
        <v>42</v>
      </c>
      <c r="S1384" s="1" t="s">
        <v>42</v>
      </c>
      <c r="T1384" s="1" t="s">
        <v>203</v>
      </c>
      <c r="U1384" s="1">
        <v>1088</v>
      </c>
      <c r="V1384" s="5">
        <v>44369</v>
      </c>
      <c r="W1384" s="5">
        <v>43069</v>
      </c>
      <c r="X1384" s="1">
        <v>4450000</v>
      </c>
      <c r="Y1384" s="1">
        <v>3995000</v>
      </c>
      <c r="Z1384" s="5">
        <v>44252</v>
      </c>
      <c r="AA1384" s="1">
        <v>3958672.65</v>
      </c>
      <c r="AB1384" s="1" t="s">
        <v>1071</v>
      </c>
      <c r="AC1384" s="5">
        <v>44316</v>
      </c>
      <c r="AF1384" s="1">
        <v>10013</v>
      </c>
      <c r="AI1384" s="1" t="s">
        <v>103</v>
      </c>
      <c r="AJ1384" s="1">
        <v>2016</v>
      </c>
      <c r="AK1384" s="1" t="s">
        <v>81</v>
      </c>
      <c r="AL1384" s="1">
        <v>111</v>
      </c>
    </row>
    <row r="1385" spans="1:38" x14ac:dyDescent="0.2">
      <c r="A1385" s="2" t="str">
        <f>HYPERLINK("https://www.compass.com/listing/15-leonard-street-unit-ph-manhattan-ny-10013/29514168193278097/","15 Leonard St, Unit PH")</f>
        <v>15 Leonard St, Unit PH</v>
      </c>
      <c r="B1385" s="2" t="str">
        <f>HYPERLINK("https://www.compass.com/building/15-leonard-st-manhattan-ny-10013/281917245892885845/","15 Leonard St")</f>
        <v>15 Leonard St</v>
      </c>
      <c r="C1385" s="1" t="s">
        <v>40</v>
      </c>
      <c r="D1385" s="1" t="s">
        <v>41</v>
      </c>
      <c r="E1385" s="3">
        <v>10750000</v>
      </c>
      <c r="F1385" s="1">
        <v>2350.2404897245301</v>
      </c>
      <c r="G1385" s="1">
        <v>10</v>
      </c>
      <c r="H1385" s="1">
        <v>5</v>
      </c>
      <c r="I1385" s="1">
        <v>6</v>
      </c>
      <c r="J1385" s="1">
        <v>6</v>
      </c>
      <c r="K1385" s="1">
        <v>6</v>
      </c>
      <c r="M1385" s="4">
        <v>4574</v>
      </c>
      <c r="N1385" s="1">
        <v>4229</v>
      </c>
      <c r="O1385" s="1">
        <v>9063</v>
      </c>
      <c r="P1385" s="1">
        <v>4834</v>
      </c>
      <c r="Q1385" s="1" t="s">
        <v>42</v>
      </c>
      <c r="S1385" s="1" t="s">
        <v>42</v>
      </c>
      <c r="T1385" s="1" t="s">
        <v>203</v>
      </c>
      <c r="U1385" s="1">
        <v>56</v>
      </c>
      <c r="V1385" s="5">
        <v>43648</v>
      </c>
      <c r="W1385" s="5">
        <v>43322</v>
      </c>
      <c r="X1385" s="1">
        <v>12750000</v>
      </c>
      <c r="Y1385" s="1">
        <v>12750000</v>
      </c>
      <c r="Z1385" s="5">
        <v>43378</v>
      </c>
      <c r="AA1385" s="1">
        <v>10750000</v>
      </c>
      <c r="AB1385" s="1" t="s">
        <v>1072</v>
      </c>
      <c r="AC1385" s="5">
        <v>43503</v>
      </c>
      <c r="AF1385" s="1">
        <v>10013</v>
      </c>
      <c r="AI1385" s="1" t="s">
        <v>93</v>
      </c>
      <c r="AJ1385" s="1">
        <v>2014</v>
      </c>
      <c r="AK1385" s="1" t="s">
        <v>137</v>
      </c>
      <c r="AL1385" s="1">
        <v>6</v>
      </c>
    </row>
    <row r="1386" spans="1:38" x14ac:dyDescent="0.2">
      <c r="A1386" s="2" t="str">
        <f>HYPERLINK("https://www.compass.com/listing/70-vestry-street-unit-3d-manhattan-ny-10013/14532862032296593/","70 Vestry St, Unit 3D")</f>
        <v>70 Vestry St, Unit 3D</v>
      </c>
      <c r="B1386" s="2" t="str">
        <f t="shared" ref="B1386:B1387" si="246">HYPERLINK("https://www.compass.com/building/70-vestry-st-manhattan-ny-10013/281921126949489413/","70 Vestry St")</f>
        <v>70 Vestry St</v>
      </c>
      <c r="C1386" s="1" t="s">
        <v>40</v>
      </c>
      <c r="D1386" s="1" t="s">
        <v>41</v>
      </c>
      <c r="E1386" s="3">
        <v>6115000</v>
      </c>
      <c r="F1386" s="1">
        <v>3156.9437274135198</v>
      </c>
      <c r="G1386" s="1">
        <v>4</v>
      </c>
      <c r="H1386" s="1">
        <v>2</v>
      </c>
      <c r="I1386" s="1">
        <v>2</v>
      </c>
      <c r="J1386" s="1">
        <v>2.5</v>
      </c>
      <c r="K1386" s="1">
        <v>2</v>
      </c>
      <c r="L1386" s="1">
        <v>1</v>
      </c>
      <c r="M1386" s="4">
        <v>1937</v>
      </c>
      <c r="N1386" s="1">
        <v>3266</v>
      </c>
      <c r="O1386" s="1">
        <v>6749</v>
      </c>
      <c r="P1386" s="1">
        <v>3483</v>
      </c>
      <c r="Q1386" s="1" t="s">
        <v>42</v>
      </c>
      <c r="S1386" s="1" t="s">
        <v>42</v>
      </c>
      <c r="T1386" s="1" t="s">
        <v>203</v>
      </c>
      <c r="U1386" s="1">
        <v>1</v>
      </c>
      <c r="V1386" s="5">
        <v>43806</v>
      </c>
      <c r="W1386" s="5">
        <v>43265</v>
      </c>
      <c r="X1386" s="1">
        <v>6250000</v>
      </c>
      <c r="Y1386" s="1">
        <v>6250000</v>
      </c>
      <c r="Z1386" s="5">
        <v>42493</v>
      </c>
      <c r="AA1386" s="1">
        <v>6115000</v>
      </c>
      <c r="AB1386" s="1" t="s">
        <v>1073</v>
      </c>
      <c r="AC1386" s="5">
        <v>43271</v>
      </c>
      <c r="AF1386" s="1">
        <v>10013</v>
      </c>
      <c r="AJ1386" s="1">
        <v>2018</v>
      </c>
      <c r="AK1386" s="1" t="s">
        <v>81</v>
      </c>
      <c r="AL1386" s="1">
        <v>46</v>
      </c>
    </row>
    <row r="1387" spans="1:38" x14ac:dyDescent="0.2">
      <c r="A1387" s="2" t="str">
        <f>HYPERLINK("https://www.compass.com/listing/70-vestry-street-unit-5c-manhattan-ny-10013/21054655853247633/","70 Vestry St, Unit 5C")</f>
        <v>70 Vestry St, Unit 5C</v>
      </c>
      <c r="B1387" s="2" t="str">
        <f t="shared" si="246"/>
        <v>70 Vestry St</v>
      </c>
      <c r="C1387" s="1" t="s">
        <v>40</v>
      </c>
      <c r="D1387" s="1" t="s">
        <v>41</v>
      </c>
      <c r="E1387" s="3">
        <v>6869032</v>
      </c>
      <c r="F1387" s="1">
        <v>3603.8994648478401</v>
      </c>
      <c r="G1387" s="1">
        <v>4</v>
      </c>
      <c r="H1387" s="1">
        <v>2</v>
      </c>
      <c r="I1387" s="1">
        <v>3</v>
      </c>
      <c r="J1387" s="1">
        <v>2.5</v>
      </c>
      <c r="K1387" s="1">
        <v>2</v>
      </c>
      <c r="L1387" s="1">
        <v>1</v>
      </c>
      <c r="M1387" s="4">
        <v>1906</v>
      </c>
      <c r="N1387" s="1">
        <v>3220</v>
      </c>
      <c r="O1387" s="1">
        <v>6654</v>
      </c>
      <c r="P1387" s="1">
        <v>3434</v>
      </c>
      <c r="Q1387" s="1" t="s">
        <v>42</v>
      </c>
      <c r="S1387" s="1" t="s">
        <v>42</v>
      </c>
      <c r="T1387" s="1" t="s">
        <v>203</v>
      </c>
      <c r="U1387" s="1">
        <v>1</v>
      </c>
      <c r="V1387" s="5">
        <v>43806</v>
      </c>
      <c r="W1387" s="5">
        <v>43265</v>
      </c>
      <c r="X1387" s="1">
        <v>6950000</v>
      </c>
      <c r="Y1387" s="1">
        <v>6950000</v>
      </c>
      <c r="Z1387" s="5">
        <v>42535</v>
      </c>
      <c r="AA1387" s="1">
        <v>6869032.3799999999</v>
      </c>
      <c r="AB1387" s="1" t="s">
        <v>1074</v>
      </c>
      <c r="AC1387" s="5">
        <v>43433</v>
      </c>
      <c r="AF1387" s="1">
        <v>10013</v>
      </c>
      <c r="AJ1387" s="1">
        <v>2018</v>
      </c>
      <c r="AK1387" s="1" t="s">
        <v>81</v>
      </c>
      <c r="AL1387" s="1">
        <v>46</v>
      </c>
    </row>
    <row r="1388" spans="1:38" x14ac:dyDescent="0.2">
      <c r="A1388" s="2" t="str">
        <f>HYPERLINK("https://www.compass.com/listing/133-mulberry-street-unit-3c-manhattan-ny-10013/50858950941216881/","133 Mulberry St, Unit 3C")</f>
        <v>133 Mulberry St, Unit 3C</v>
      </c>
      <c r="B1388" s="2" t="str">
        <f>HYPERLINK("https://www.compass.com/building/133-mulberry-st-manhattan-ny-10013/281916941336083477/","133 Mulberry St")</f>
        <v>133 Mulberry St</v>
      </c>
      <c r="C1388" s="1" t="s">
        <v>135</v>
      </c>
      <c r="D1388" s="1" t="s">
        <v>41</v>
      </c>
      <c r="E1388" s="3">
        <v>2250000</v>
      </c>
      <c r="F1388" s="1">
        <v>1625.7225433526</v>
      </c>
      <c r="G1388" s="1">
        <v>6</v>
      </c>
      <c r="H1388" s="1">
        <v>2</v>
      </c>
      <c r="I1388" s="1">
        <v>2</v>
      </c>
      <c r="J1388" s="1">
        <v>2</v>
      </c>
      <c r="K1388" s="1">
        <v>2</v>
      </c>
      <c r="M1388" s="4">
        <v>1384</v>
      </c>
      <c r="N1388" s="1">
        <v>622</v>
      </c>
      <c r="O1388" s="1">
        <v>2074</v>
      </c>
      <c r="P1388" s="1">
        <v>1452</v>
      </c>
      <c r="Q1388" s="1" t="s">
        <v>42</v>
      </c>
      <c r="S1388" s="1" t="s">
        <v>42</v>
      </c>
      <c r="T1388" s="1" t="s">
        <v>203</v>
      </c>
      <c r="U1388" s="1">
        <v>41</v>
      </c>
      <c r="V1388" s="5">
        <v>44225</v>
      </c>
      <c r="W1388" s="5">
        <v>41911</v>
      </c>
      <c r="X1388" s="1">
        <v>2550000</v>
      </c>
      <c r="Y1388" s="1">
        <v>2550000</v>
      </c>
      <c r="Z1388" s="5">
        <v>41984</v>
      </c>
      <c r="AA1388" s="1">
        <v>2250000</v>
      </c>
      <c r="AB1388" s="1" t="s">
        <v>979</v>
      </c>
      <c r="AC1388" s="5">
        <v>42601</v>
      </c>
      <c r="AF1388" s="1">
        <v>10013</v>
      </c>
      <c r="AI1388" s="1" t="s">
        <v>1075</v>
      </c>
      <c r="AJ1388" s="1">
        <v>1893</v>
      </c>
      <c r="AK1388" s="1" t="s">
        <v>59</v>
      </c>
      <c r="AL1388" s="1">
        <v>18</v>
      </c>
    </row>
    <row r="1389" spans="1:38" x14ac:dyDescent="0.2">
      <c r="A1389" s="2" t="str">
        <f>HYPERLINK("https://www.compass.com/listing/91-leonard-street-unit-13b-manhattan-ny-10013/34689536055325825/","91 Leonard St, Unit 13B")</f>
        <v>91 Leonard St, Unit 13B</v>
      </c>
      <c r="B1389" s="2" t="str">
        <f>HYPERLINK("https://www.compass.com/building/91-leonard-manhattan-ny/282058661633754165/","91 Leonard")</f>
        <v>91 Leonard</v>
      </c>
      <c r="C1389" s="1" t="s">
        <v>40</v>
      </c>
      <c r="D1389" s="1" t="s">
        <v>41</v>
      </c>
      <c r="E1389" s="3">
        <v>1480000</v>
      </c>
      <c r="F1389" s="1">
        <v>1749.40898345153</v>
      </c>
      <c r="G1389" s="1">
        <v>3</v>
      </c>
      <c r="H1389" s="1">
        <v>1</v>
      </c>
      <c r="I1389" s="1">
        <v>1</v>
      </c>
      <c r="J1389" s="1">
        <v>1</v>
      </c>
      <c r="K1389" s="1">
        <v>1</v>
      </c>
      <c r="M1389" s="1">
        <v>846</v>
      </c>
      <c r="N1389" s="1">
        <v>1022</v>
      </c>
      <c r="O1389" s="1">
        <v>2583</v>
      </c>
      <c r="P1389" s="1">
        <v>1561</v>
      </c>
      <c r="Q1389" s="1" t="s">
        <v>42</v>
      </c>
      <c r="S1389" s="1" t="s">
        <v>42</v>
      </c>
      <c r="T1389" s="1" t="s">
        <v>203</v>
      </c>
      <c r="U1389" s="1">
        <v>136</v>
      </c>
      <c r="V1389" s="5">
        <v>44314</v>
      </c>
      <c r="W1389" s="5">
        <v>43840</v>
      </c>
      <c r="Y1389" s="1">
        <v>1735000</v>
      </c>
      <c r="Z1389" s="5">
        <v>44070</v>
      </c>
      <c r="AA1389" s="1">
        <v>1480000</v>
      </c>
      <c r="AB1389" s="1" t="s">
        <v>1076</v>
      </c>
      <c r="AC1389" s="5">
        <v>44141</v>
      </c>
      <c r="AF1389" s="1">
        <v>10013</v>
      </c>
      <c r="AI1389" s="1" t="s">
        <v>103</v>
      </c>
      <c r="AJ1389" s="1">
        <v>2016</v>
      </c>
      <c r="AK1389" s="1" t="s">
        <v>81</v>
      </c>
      <c r="AL1389" s="1">
        <v>111</v>
      </c>
    </row>
    <row r="1390" spans="1:38" x14ac:dyDescent="0.2">
      <c r="A1390" s="2" t="str">
        <f>HYPERLINK("https://www.compass.com/listing/70-vestry-street-unit-5f-manhattan-ny-10013/447047628359082185/","70 Vestry St, Unit 5F")</f>
        <v>70 Vestry St, Unit 5F</v>
      </c>
      <c r="B1390" s="2" t="str">
        <f>HYPERLINK("https://www.compass.com/building/70-vestry-st-manhattan-ny-10013/281921126949489413/","70 Vestry St")</f>
        <v>70 Vestry St</v>
      </c>
      <c r="C1390" s="1" t="s">
        <v>40</v>
      </c>
      <c r="D1390" s="1" t="s">
        <v>41</v>
      </c>
      <c r="E1390" s="3">
        <v>7800500</v>
      </c>
      <c r="F1390" s="1">
        <v>3190.3885480572599</v>
      </c>
      <c r="G1390" s="1">
        <v>6</v>
      </c>
      <c r="H1390" s="1">
        <v>3</v>
      </c>
      <c r="I1390" s="1">
        <v>4</v>
      </c>
      <c r="J1390" s="1">
        <v>3.5</v>
      </c>
      <c r="K1390" s="1">
        <v>3</v>
      </c>
      <c r="L1390" s="1">
        <v>1</v>
      </c>
      <c r="M1390" s="4">
        <v>2445</v>
      </c>
      <c r="N1390" s="1">
        <v>4206</v>
      </c>
      <c r="O1390" s="1">
        <v>8412</v>
      </c>
      <c r="P1390" s="1">
        <v>4206</v>
      </c>
      <c r="Q1390" s="1" t="s">
        <v>42</v>
      </c>
      <c r="S1390" s="1" t="s">
        <v>42</v>
      </c>
      <c r="T1390" s="1" t="s">
        <v>203</v>
      </c>
      <c r="U1390" s="1">
        <v>776</v>
      </c>
      <c r="V1390" s="5">
        <v>44241</v>
      </c>
      <c r="W1390" s="5">
        <v>42489</v>
      </c>
      <c r="X1390" s="1">
        <v>8299000</v>
      </c>
      <c r="Y1390" s="1">
        <v>8299000</v>
      </c>
      <c r="AA1390" s="1">
        <v>7800500</v>
      </c>
      <c r="AB1390" s="1" t="s">
        <v>1018</v>
      </c>
      <c r="AC1390" s="5">
        <v>43265</v>
      </c>
      <c r="AF1390" s="1">
        <v>10013</v>
      </c>
      <c r="AJ1390" s="1">
        <v>2018</v>
      </c>
      <c r="AK1390" s="1" t="s">
        <v>50</v>
      </c>
      <c r="AL1390" s="1">
        <v>46</v>
      </c>
    </row>
    <row r="1391" spans="1:38" x14ac:dyDescent="0.2">
      <c r="A1391" s="2" t="str">
        <f>HYPERLINK("https://www.compass.com/listing/91-leonard-street-unit-14b-manhattan-ny-10013/34689570784163633/","91 Leonard St, Unit 14B")</f>
        <v>91 Leonard St, Unit 14B</v>
      </c>
      <c r="B1391" s="2" t="str">
        <f t="shared" ref="B1391:B1393" si="247">HYPERLINK("https://www.compass.com/building/91-leonard-manhattan-ny/282058661633754165/","91 Leonard")</f>
        <v>91 Leonard</v>
      </c>
      <c r="C1391" s="1" t="s">
        <v>40</v>
      </c>
      <c r="D1391" s="1" t="s">
        <v>41</v>
      </c>
      <c r="E1391" s="3">
        <v>4064788</v>
      </c>
      <c r="F1391" s="1">
        <v>2574.2796073464201</v>
      </c>
      <c r="G1391" s="1">
        <v>5</v>
      </c>
      <c r="H1391" s="1">
        <v>2</v>
      </c>
      <c r="I1391" s="1">
        <v>3</v>
      </c>
      <c r="J1391" s="1">
        <v>2.5</v>
      </c>
      <c r="K1391" s="1">
        <v>2</v>
      </c>
      <c r="L1391" s="1">
        <v>1</v>
      </c>
      <c r="M1391" s="4">
        <v>1579</v>
      </c>
      <c r="N1391" s="1">
        <v>2015</v>
      </c>
      <c r="O1391" s="1">
        <v>5092</v>
      </c>
      <c r="P1391" s="1">
        <v>3077</v>
      </c>
      <c r="Q1391" s="1" t="s">
        <v>42</v>
      </c>
      <c r="S1391" s="1" t="s">
        <v>42</v>
      </c>
      <c r="T1391" s="1" t="s">
        <v>203</v>
      </c>
      <c r="U1391" s="1">
        <v>268</v>
      </c>
      <c r="V1391" s="5">
        <v>44314</v>
      </c>
      <c r="W1391" s="5">
        <v>43031</v>
      </c>
      <c r="X1391" s="1">
        <v>3950000</v>
      </c>
      <c r="Y1391" s="1">
        <v>3950000</v>
      </c>
      <c r="Z1391" s="5">
        <v>43300</v>
      </c>
      <c r="AA1391" s="1">
        <v>4064787.5</v>
      </c>
      <c r="AB1391" s="1" t="s">
        <v>1077</v>
      </c>
      <c r="AC1391" s="5">
        <v>43734</v>
      </c>
      <c r="AF1391" s="1">
        <v>10013</v>
      </c>
      <c r="AI1391" s="1" t="s">
        <v>123</v>
      </c>
      <c r="AJ1391" s="1">
        <v>2016</v>
      </c>
      <c r="AK1391" s="1" t="s">
        <v>81</v>
      </c>
      <c r="AL1391" s="1">
        <v>111</v>
      </c>
    </row>
    <row r="1392" spans="1:38" x14ac:dyDescent="0.2">
      <c r="A1392" s="2" t="str">
        <f>HYPERLINK("https://www.compass.com/listing/91-leonard-street-unit-12b-manhattan-ny-10013/34689473669359729/","91 Leonard St, Unit 12B")</f>
        <v>91 Leonard St, Unit 12B</v>
      </c>
      <c r="B1392" s="2" t="str">
        <f t="shared" si="247"/>
        <v>91 Leonard</v>
      </c>
      <c r="C1392" s="1" t="s">
        <v>40</v>
      </c>
      <c r="D1392" s="1" t="s">
        <v>41</v>
      </c>
      <c r="E1392" s="3">
        <v>1675000</v>
      </c>
      <c r="F1392" s="1">
        <v>1979.9054373522399</v>
      </c>
      <c r="G1392" s="1">
        <v>3</v>
      </c>
      <c r="H1392" s="1">
        <v>1</v>
      </c>
      <c r="I1392" s="1">
        <v>1</v>
      </c>
      <c r="J1392" s="1">
        <v>1</v>
      </c>
      <c r="K1392" s="1">
        <v>1</v>
      </c>
      <c r="M1392" s="1">
        <v>846</v>
      </c>
      <c r="N1392" s="1">
        <v>1017</v>
      </c>
      <c r="O1392" s="1">
        <v>2571</v>
      </c>
      <c r="P1392" s="1">
        <v>1554</v>
      </c>
      <c r="Q1392" s="1" t="s">
        <v>42</v>
      </c>
      <c r="S1392" s="1" t="s">
        <v>42</v>
      </c>
      <c r="T1392" s="1" t="s">
        <v>203</v>
      </c>
      <c r="U1392" s="1">
        <v>934</v>
      </c>
      <c r="V1392" s="5">
        <v>44314</v>
      </c>
      <c r="W1392" s="5">
        <v>43182</v>
      </c>
      <c r="X1392" s="1">
        <v>1725000</v>
      </c>
      <c r="Y1392" s="1">
        <v>1725000</v>
      </c>
      <c r="Z1392" s="5">
        <v>44211</v>
      </c>
      <c r="AA1392" s="1">
        <v>1675000</v>
      </c>
      <c r="AB1392" s="1" t="s">
        <v>215</v>
      </c>
      <c r="AC1392" s="5">
        <v>44215</v>
      </c>
      <c r="AF1392" s="1">
        <v>10013</v>
      </c>
      <c r="AI1392" s="1" t="s">
        <v>103</v>
      </c>
      <c r="AJ1392" s="1">
        <v>2016</v>
      </c>
      <c r="AK1392" s="1" t="s">
        <v>81</v>
      </c>
      <c r="AL1392" s="1">
        <v>111</v>
      </c>
    </row>
    <row r="1393" spans="1:38" x14ac:dyDescent="0.2">
      <c r="A1393" s="2" t="str">
        <f>HYPERLINK("https://www.compass.com/listing/91-leonard-street-unit-4b-manhattan-ny-10013/746507079883640641/","91 Leonard St, Unit 4B")</f>
        <v>91 Leonard St, Unit 4B</v>
      </c>
      <c r="B1393" s="2" t="str">
        <f t="shared" si="247"/>
        <v>91 Leonard</v>
      </c>
      <c r="C1393" s="1" t="s">
        <v>40</v>
      </c>
      <c r="D1393" s="1" t="s">
        <v>41</v>
      </c>
      <c r="E1393" s="3">
        <v>1625000</v>
      </c>
      <c r="F1393" s="1">
        <v>1867.8160919540201</v>
      </c>
      <c r="G1393" s="1">
        <v>3</v>
      </c>
      <c r="H1393" s="1">
        <v>1</v>
      </c>
      <c r="I1393" s="1">
        <v>2</v>
      </c>
      <c r="J1393" s="1">
        <v>1.5</v>
      </c>
      <c r="K1393" s="1">
        <v>1</v>
      </c>
      <c r="L1393" s="1">
        <v>1</v>
      </c>
      <c r="M1393" s="1">
        <v>870</v>
      </c>
      <c r="N1393" s="1">
        <v>1028</v>
      </c>
      <c r="O1393" s="1">
        <v>2050</v>
      </c>
      <c r="P1393" s="1">
        <v>1022</v>
      </c>
      <c r="Q1393" s="1" t="s">
        <v>42</v>
      </c>
      <c r="S1393" s="1" t="s">
        <v>42</v>
      </c>
      <c r="T1393" s="1" t="s">
        <v>203</v>
      </c>
      <c r="U1393" s="1">
        <v>32</v>
      </c>
      <c r="V1393" s="5">
        <v>44378</v>
      </c>
      <c r="W1393" s="5">
        <v>44281</v>
      </c>
      <c r="X1393" s="1">
        <v>1655000</v>
      </c>
      <c r="Y1393" s="1">
        <v>1655000</v>
      </c>
      <c r="Z1393" s="5">
        <v>44314</v>
      </c>
      <c r="AA1393" s="1">
        <v>1625000</v>
      </c>
      <c r="AB1393" s="1" t="s">
        <v>215</v>
      </c>
      <c r="AC1393" s="5">
        <v>44372</v>
      </c>
      <c r="AF1393" s="1">
        <v>10013</v>
      </c>
      <c r="AI1393" s="1" t="s">
        <v>103</v>
      </c>
      <c r="AJ1393" s="1">
        <v>2016</v>
      </c>
      <c r="AK1393" s="1" t="s">
        <v>121</v>
      </c>
      <c r="AL1393" s="1">
        <v>111</v>
      </c>
    </row>
    <row r="1394" spans="1:38" x14ac:dyDescent="0.2">
      <c r="A1394" s="2" t="str">
        <f>HYPERLINK("https://www.compass.com/listing/269-west-87th-street-unit-12ab-manhattan-ny-10024/115199762105399505/","269 W 87th St, Unit 12AB")</f>
        <v>269 W 87th St, Unit 12AB</v>
      </c>
      <c r="B1394" s="2" t="str">
        <f>HYPERLINK("https://www.compass.com/building/west-end-and-eighty-seven-manhattan-ny/282058755477110005/","West End and Eighty Seven")</f>
        <v>West End and Eighty Seven</v>
      </c>
      <c r="C1394" s="1" t="s">
        <v>47</v>
      </c>
      <c r="D1394" s="1" t="s">
        <v>41</v>
      </c>
      <c r="E1394" s="3">
        <v>11300000</v>
      </c>
      <c r="F1394" s="1">
        <v>2442.7150886294799</v>
      </c>
      <c r="G1394" s="1">
        <v>17</v>
      </c>
      <c r="H1394" s="1">
        <v>6</v>
      </c>
      <c r="I1394" s="1">
        <v>5</v>
      </c>
      <c r="J1394" s="1">
        <v>4.5</v>
      </c>
      <c r="K1394" s="1">
        <v>4</v>
      </c>
      <c r="L1394" s="1">
        <v>1</v>
      </c>
      <c r="M1394" s="4">
        <v>4626</v>
      </c>
      <c r="N1394" s="1">
        <v>14704</v>
      </c>
      <c r="O1394" s="1">
        <v>14704</v>
      </c>
      <c r="Q1394" s="1" t="s">
        <v>353</v>
      </c>
      <c r="S1394" s="1" t="s">
        <v>353</v>
      </c>
      <c r="T1394" s="1" t="s">
        <v>203</v>
      </c>
      <c r="U1394" s="1">
        <v>1</v>
      </c>
      <c r="V1394" s="5">
        <v>43687</v>
      </c>
      <c r="W1394" s="5">
        <v>43410</v>
      </c>
      <c r="X1394" s="1">
        <v>11350000</v>
      </c>
      <c r="Y1394" s="1">
        <v>11350000</v>
      </c>
      <c r="Z1394" s="5">
        <v>43411</v>
      </c>
      <c r="AA1394" s="1">
        <v>11300000</v>
      </c>
      <c r="AB1394" s="1" t="s">
        <v>204</v>
      </c>
      <c r="AC1394" s="5">
        <v>43552</v>
      </c>
      <c r="AF1394" s="1">
        <v>10024</v>
      </c>
      <c r="AI1394" s="1" t="s">
        <v>114</v>
      </c>
      <c r="AJ1394" s="1">
        <v>2018</v>
      </c>
      <c r="AK1394" s="1" t="s">
        <v>46</v>
      </c>
      <c r="AL1394" s="1">
        <v>39</v>
      </c>
    </row>
    <row r="1395" spans="1:38" x14ac:dyDescent="0.2">
      <c r="A1395" s="2" t="str">
        <f>HYPERLINK("https://www.compass.com/listing/70-vestry-street-unit-8n-manhattan-ny-10013/21054657807793777/","70 Vestry St, Unit 8N")</f>
        <v>70 Vestry St, Unit 8N</v>
      </c>
      <c r="B1395" s="2" t="str">
        <f t="shared" ref="B1395:B1397" si="248">HYPERLINK("https://www.compass.com/building/70-vestry-st-manhattan-ny-10013/281921126949489413/","70 Vestry St")</f>
        <v>70 Vestry St</v>
      </c>
      <c r="C1395" s="1" t="s">
        <v>40</v>
      </c>
      <c r="D1395" s="1" t="s">
        <v>41</v>
      </c>
      <c r="E1395" s="3">
        <v>28000000</v>
      </c>
      <c r="F1395" s="1">
        <v>4806.8669527897</v>
      </c>
      <c r="G1395" s="1">
        <v>9</v>
      </c>
      <c r="H1395" s="1">
        <v>7</v>
      </c>
      <c r="I1395" s="1">
        <v>9</v>
      </c>
      <c r="J1395" s="1">
        <v>8.5</v>
      </c>
      <c r="K1395" s="1">
        <v>8</v>
      </c>
      <c r="L1395" s="1">
        <v>1</v>
      </c>
      <c r="M1395" s="4">
        <v>5825</v>
      </c>
      <c r="N1395" s="1">
        <v>10328</v>
      </c>
      <c r="O1395" s="1">
        <v>21343</v>
      </c>
      <c r="P1395" s="1">
        <v>11015</v>
      </c>
      <c r="Q1395" s="1" t="s">
        <v>42</v>
      </c>
      <c r="S1395" s="1" t="s">
        <v>42</v>
      </c>
      <c r="T1395" s="1" t="s">
        <v>203</v>
      </c>
      <c r="U1395" s="1">
        <v>731</v>
      </c>
      <c r="V1395" s="5">
        <v>43806</v>
      </c>
      <c r="W1395" s="5">
        <v>42516</v>
      </c>
      <c r="X1395" s="1">
        <v>28000000</v>
      </c>
      <c r="Y1395" s="1">
        <v>29500000</v>
      </c>
      <c r="Z1395" s="5">
        <v>43247</v>
      </c>
      <c r="AA1395" s="1">
        <v>28000000</v>
      </c>
      <c r="AB1395" s="1" t="s">
        <v>1078</v>
      </c>
      <c r="AC1395" s="5">
        <v>43349</v>
      </c>
      <c r="AF1395" s="1">
        <v>10013</v>
      </c>
      <c r="AI1395" s="1" t="s">
        <v>403</v>
      </c>
      <c r="AJ1395" s="1">
        <v>2018</v>
      </c>
      <c r="AK1395" s="1" t="s">
        <v>81</v>
      </c>
      <c r="AL1395" s="1">
        <v>46</v>
      </c>
    </row>
    <row r="1396" spans="1:38" x14ac:dyDescent="0.2">
      <c r="A1396" s="2" t="str">
        <f>HYPERLINK("https://www.compass.com/listing/70-vestry-street-unit-8s-manhattan-ny-10013/21054660903190929/","70 Vestry St, Unit 8S")</f>
        <v>70 Vestry St, Unit 8S</v>
      </c>
      <c r="B1396" s="2" t="str">
        <f t="shared" si="248"/>
        <v>70 Vestry St</v>
      </c>
      <c r="C1396" s="1" t="s">
        <v>40</v>
      </c>
      <c r="D1396" s="1" t="s">
        <v>41</v>
      </c>
      <c r="E1396" s="3">
        <v>24006500</v>
      </c>
      <c r="F1396" s="1">
        <v>4911.3134206219302</v>
      </c>
      <c r="G1396" s="1">
        <v>8</v>
      </c>
      <c r="H1396" s="1">
        <v>6</v>
      </c>
      <c r="I1396" s="1">
        <v>8</v>
      </c>
      <c r="J1396" s="1">
        <v>7.5</v>
      </c>
      <c r="K1396" s="1">
        <v>7</v>
      </c>
      <c r="L1396" s="1">
        <v>1</v>
      </c>
      <c r="M1396" s="4">
        <v>4888</v>
      </c>
      <c r="N1396" s="1">
        <v>8768</v>
      </c>
      <c r="O1396" s="1">
        <v>18119</v>
      </c>
      <c r="P1396" s="1">
        <v>9351</v>
      </c>
      <c r="Q1396" s="1" t="s">
        <v>42</v>
      </c>
      <c r="S1396" s="1" t="s">
        <v>42</v>
      </c>
      <c r="T1396" s="1" t="s">
        <v>203</v>
      </c>
      <c r="U1396" s="1">
        <v>1</v>
      </c>
      <c r="V1396" s="5">
        <v>43806</v>
      </c>
      <c r="W1396" s="5">
        <v>43264</v>
      </c>
      <c r="X1396" s="1">
        <v>26000000</v>
      </c>
      <c r="Y1396" s="1">
        <v>26000000</v>
      </c>
      <c r="Z1396" s="5">
        <v>42719</v>
      </c>
      <c r="AA1396" s="1">
        <v>24006500</v>
      </c>
      <c r="AB1396" s="1" t="s">
        <v>1079</v>
      </c>
      <c r="AC1396" s="5">
        <v>43335</v>
      </c>
      <c r="AF1396" s="1">
        <v>10013</v>
      </c>
      <c r="AI1396" s="1" t="s">
        <v>403</v>
      </c>
      <c r="AJ1396" s="1">
        <v>2018</v>
      </c>
      <c r="AK1396" s="1" t="s">
        <v>81</v>
      </c>
      <c r="AL1396" s="1">
        <v>46</v>
      </c>
    </row>
    <row r="1397" spans="1:38" x14ac:dyDescent="0.2">
      <c r="A1397" s="2" t="str">
        <f>HYPERLINK("https://www.compass.com/listing/70-vestry-street-unit-10n-manhattan-ny-10013/21054669618951073/","70 Vestry St, Unit 10N")</f>
        <v>70 Vestry St, Unit 10N</v>
      </c>
      <c r="B1397" s="2" t="str">
        <f t="shared" si="248"/>
        <v>70 Vestry St</v>
      </c>
      <c r="C1397" s="1" t="s">
        <v>40</v>
      </c>
      <c r="D1397" s="1" t="s">
        <v>41</v>
      </c>
      <c r="E1397" s="3">
        <v>26989125</v>
      </c>
      <c r="F1397" s="1">
        <v>5238.57239906832</v>
      </c>
      <c r="G1397" s="1">
        <v>8</v>
      </c>
      <c r="H1397" s="1">
        <v>6</v>
      </c>
      <c r="I1397" s="1">
        <v>8</v>
      </c>
      <c r="J1397" s="1">
        <v>7.5</v>
      </c>
      <c r="K1397" s="1">
        <v>7</v>
      </c>
      <c r="L1397" s="1">
        <v>1</v>
      </c>
      <c r="M1397" s="4">
        <v>5152</v>
      </c>
      <c r="N1397" s="1">
        <v>8791</v>
      </c>
      <c r="O1397" s="1">
        <v>18166</v>
      </c>
      <c r="P1397" s="1">
        <v>9375</v>
      </c>
      <c r="Q1397" s="1" t="s">
        <v>42</v>
      </c>
      <c r="S1397" s="1" t="s">
        <v>42</v>
      </c>
      <c r="T1397" s="1" t="s">
        <v>203</v>
      </c>
      <c r="U1397" s="1">
        <v>1</v>
      </c>
      <c r="V1397" s="5">
        <v>43806</v>
      </c>
      <c r="W1397" s="5">
        <v>43265</v>
      </c>
      <c r="X1397" s="1">
        <v>27500000</v>
      </c>
      <c r="Y1397" s="1">
        <v>27500000</v>
      </c>
      <c r="Z1397" s="5">
        <v>43139</v>
      </c>
      <c r="AA1397" s="1">
        <v>26989125</v>
      </c>
      <c r="AB1397" s="1" t="s">
        <v>1080</v>
      </c>
      <c r="AC1397" s="5">
        <v>43370</v>
      </c>
      <c r="AF1397" s="1">
        <v>10013</v>
      </c>
      <c r="AI1397" s="1" t="s">
        <v>403</v>
      </c>
      <c r="AJ1397" s="1">
        <v>2018</v>
      </c>
      <c r="AK1397" s="1" t="s">
        <v>81</v>
      </c>
      <c r="AL1397" s="1">
        <v>46</v>
      </c>
    </row>
    <row r="1398" spans="1:38" x14ac:dyDescent="0.2">
      <c r="A1398" s="2" t="str">
        <f>HYPERLINK("https://www.compass.com/listing/91-leonard-street-unit-8f-manhattan-ny-10013/34689571295879393/","91 Leonard St, Unit 8F")</f>
        <v>91 Leonard St, Unit 8F</v>
      </c>
      <c r="B1398" s="2" t="str">
        <f t="shared" ref="B1398:B1399" si="249">HYPERLINK("https://www.compass.com/building/91-leonard-manhattan-ny/282058661633754165/","91 Leonard")</f>
        <v>91 Leonard</v>
      </c>
      <c r="C1398" s="1" t="s">
        <v>40</v>
      </c>
      <c r="D1398" s="1" t="s">
        <v>41</v>
      </c>
      <c r="E1398" s="3">
        <v>5298158</v>
      </c>
      <c r="F1398" s="1">
        <v>2026.0643977055399</v>
      </c>
      <c r="G1398" s="1">
        <v>6</v>
      </c>
      <c r="H1398" s="1">
        <v>4</v>
      </c>
      <c r="I1398" s="1">
        <v>4</v>
      </c>
      <c r="J1398" s="1">
        <v>3.5</v>
      </c>
      <c r="K1398" s="1">
        <v>3</v>
      </c>
      <c r="L1398" s="1">
        <v>1</v>
      </c>
      <c r="M1398" s="4">
        <v>2615</v>
      </c>
      <c r="N1398" s="1">
        <v>3434</v>
      </c>
      <c r="O1398" s="1">
        <v>8739</v>
      </c>
      <c r="P1398" s="1">
        <v>5305</v>
      </c>
      <c r="Q1398" s="1" t="s">
        <v>42</v>
      </c>
      <c r="S1398" s="1" t="s">
        <v>42</v>
      </c>
      <c r="T1398" s="1" t="s">
        <v>203</v>
      </c>
      <c r="U1398" s="1">
        <v>268</v>
      </c>
      <c r="V1398" s="5">
        <v>44314</v>
      </c>
      <c r="W1398" s="5">
        <v>43031</v>
      </c>
      <c r="X1398" s="1">
        <v>5200000</v>
      </c>
      <c r="Y1398" s="1">
        <v>5200000</v>
      </c>
      <c r="Z1398" s="5">
        <v>43300</v>
      </c>
      <c r="AA1398" s="1">
        <v>5298158.4000000004</v>
      </c>
      <c r="AB1398" s="1" t="s">
        <v>1081</v>
      </c>
      <c r="AC1398" s="5">
        <v>43706</v>
      </c>
      <c r="AF1398" s="1">
        <v>10013</v>
      </c>
      <c r="AI1398" s="1" t="s">
        <v>123</v>
      </c>
      <c r="AJ1398" s="1">
        <v>2016</v>
      </c>
      <c r="AK1398" s="1" t="s">
        <v>81</v>
      </c>
      <c r="AL1398" s="1">
        <v>111</v>
      </c>
    </row>
    <row r="1399" spans="1:38" x14ac:dyDescent="0.2">
      <c r="A1399" s="2" t="str">
        <f>HYPERLINK("https://www.compass.com/listing/91-leonard-street-unit-13a-manhattan-ny-10013/420590805676396113/","91 Leonard St, Unit 13A")</f>
        <v>91 Leonard St, Unit 13A</v>
      </c>
      <c r="B1399" s="2" t="str">
        <f t="shared" si="249"/>
        <v>91 Leonard</v>
      </c>
      <c r="C1399" s="1" t="s">
        <v>40</v>
      </c>
      <c r="D1399" s="1" t="s">
        <v>41</v>
      </c>
      <c r="E1399" s="3">
        <v>2900000</v>
      </c>
      <c r="F1399" s="1">
        <v>1964.76964769647</v>
      </c>
      <c r="G1399" s="1">
        <v>5.5</v>
      </c>
      <c r="H1399" s="1">
        <v>2</v>
      </c>
      <c r="J1399" s="1">
        <v>4</v>
      </c>
      <c r="M1399" s="4">
        <v>1476</v>
      </c>
      <c r="N1399" s="1">
        <v>1806</v>
      </c>
      <c r="O1399" s="1">
        <v>4564</v>
      </c>
      <c r="P1399" s="1">
        <v>2758</v>
      </c>
      <c r="Q1399" s="1" t="s">
        <v>42</v>
      </c>
      <c r="S1399" s="1" t="s">
        <v>42</v>
      </c>
      <c r="T1399" s="1" t="s">
        <v>203</v>
      </c>
      <c r="V1399" s="5">
        <v>44247</v>
      </c>
      <c r="W1399" s="5">
        <v>43314</v>
      </c>
      <c r="X1399" s="1">
        <v>2900000</v>
      </c>
      <c r="Y1399" s="1">
        <v>2900000</v>
      </c>
      <c r="Z1399" s="5">
        <v>43314</v>
      </c>
      <c r="AA1399" s="1">
        <v>2900000</v>
      </c>
      <c r="AB1399" s="1" t="s">
        <v>1008</v>
      </c>
      <c r="AC1399" s="5">
        <v>44285</v>
      </c>
      <c r="AF1399" s="1">
        <v>10013</v>
      </c>
      <c r="AI1399" s="1" t="s">
        <v>78</v>
      </c>
      <c r="AJ1399" s="1">
        <v>2016</v>
      </c>
      <c r="AK1399" s="1" t="s">
        <v>121</v>
      </c>
      <c r="AL1399" s="1">
        <v>111</v>
      </c>
    </row>
    <row r="1400" spans="1:38" x14ac:dyDescent="0.2">
      <c r="A1400" s="2" t="str">
        <f>HYPERLINK("https://www.compass.com/listing/70-vestry-street-unit-11n-manhattan-ny-10013/251322360060283665/","70 Vestry St, Unit 11N")</f>
        <v>70 Vestry St, Unit 11N</v>
      </c>
      <c r="B1400" s="2" t="str">
        <f>HYPERLINK("https://www.compass.com/building/70-vestry-st-manhattan-ny-10013/281921126949489413/","70 Vestry St")</f>
        <v>70 Vestry St</v>
      </c>
      <c r="C1400" s="1" t="s">
        <v>40</v>
      </c>
      <c r="D1400" s="1" t="s">
        <v>41</v>
      </c>
      <c r="E1400" s="3">
        <v>24620625</v>
      </c>
      <c r="F1400" s="1">
        <v>4921.1722966220204</v>
      </c>
      <c r="G1400" s="1">
        <v>8</v>
      </c>
      <c r="H1400" s="1">
        <v>6</v>
      </c>
      <c r="I1400" s="1">
        <v>8</v>
      </c>
      <c r="J1400" s="1">
        <v>7.5</v>
      </c>
      <c r="K1400" s="1">
        <v>7</v>
      </c>
      <c r="L1400" s="1">
        <v>1</v>
      </c>
      <c r="M1400" s="4">
        <v>5003</v>
      </c>
      <c r="N1400" s="1">
        <v>8509</v>
      </c>
      <c r="O1400" s="1">
        <v>17583</v>
      </c>
      <c r="P1400" s="1">
        <v>9074</v>
      </c>
      <c r="Q1400" s="1" t="s">
        <v>42</v>
      </c>
      <c r="S1400" s="1" t="s">
        <v>42</v>
      </c>
      <c r="T1400" s="1" t="s">
        <v>203</v>
      </c>
      <c r="U1400" s="1">
        <v>545</v>
      </c>
      <c r="V1400" s="5">
        <v>44249</v>
      </c>
      <c r="W1400" s="5">
        <v>43586</v>
      </c>
      <c r="X1400" s="1">
        <v>28500000</v>
      </c>
      <c r="Y1400" s="1">
        <v>28500000</v>
      </c>
      <c r="Z1400" s="5">
        <v>44226</v>
      </c>
      <c r="AA1400" s="1">
        <v>24620625</v>
      </c>
      <c r="AB1400" s="1" t="s">
        <v>1082</v>
      </c>
      <c r="AC1400" s="5">
        <v>44245</v>
      </c>
      <c r="AF1400" s="1">
        <v>10013</v>
      </c>
      <c r="AI1400" s="1" t="s">
        <v>98</v>
      </c>
      <c r="AJ1400" s="1">
        <v>2018</v>
      </c>
      <c r="AK1400" s="1" t="s">
        <v>81</v>
      </c>
      <c r="AL1400" s="1">
        <v>46</v>
      </c>
    </row>
    <row r="1401" spans="1:38" x14ac:dyDescent="0.2">
      <c r="A1401" s="2" t="str">
        <f>HYPERLINK("https://www.compass.com/listing/91-leonard-street-unit-4h-manhattan-ny-10013/841462145187248585/","91 Leonard St, Unit 4H")</f>
        <v>91 Leonard St, Unit 4H</v>
      </c>
      <c r="B1401" s="2" t="str">
        <f>HYPERLINK("https://www.compass.com/building/91-leonard-manhattan-ny/282058661633754165/","91 Leonard")</f>
        <v>91 Leonard</v>
      </c>
      <c r="C1401" s="1" t="s">
        <v>40</v>
      </c>
      <c r="D1401" s="1" t="s">
        <v>41</v>
      </c>
      <c r="E1401" s="3">
        <v>1430000</v>
      </c>
      <c r="F1401" s="1">
        <v>1547.61904761904</v>
      </c>
      <c r="G1401" s="1">
        <v>1.5</v>
      </c>
      <c r="H1401" s="1">
        <v>1</v>
      </c>
      <c r="I1401" s="1">
        <v>2</v>
      </c>
      <c r="J1401" s="1">
        <v>1.5</v>
      </c>
      <c r="K1401" s="1">
        <v>1</v>
      </c>
      <c r="L1401" s="1">
        <v>1</v>
      </c>
      <c r="M1401" s="1">
        <v>924</v>
      </c>
      <c r="N1401" s="1">
        <v>1094</v>
      </c>
      <c r="O1401" s="1">
        <v>2766</v>
      </c>
      <c r="P1401" s="1">
        <v>1672</v>
      </c>
      <c r="S1401" s="1" t="s">
        <v>42</v>
      </c>
      <c r="T1401" s="1" t="s">
        <v>203</v>
      </c>
      <c r="V1401" s="5">
        <v>44417</v>
      </c>
      <c r="W1401" s="5">
        <v>43314</v>
      </c>
      <c r="X1401" s="1">
        <v>1430000</v>
      </c>
      <c r="Y1401" s="1">
        <v>1430000</v>
      </c>
      <c r="Z1401" s="5">
        <v>43314</v>
      </c>
      <c r="AA1401" s="1">
        <v>1430000</v>
      </c>
      <c r="AB1401" s="1" t="s">
        <v>204</v>
      </c>
      <c r="AC1401" s="5">
        <v>44208</v>
      </c>
      <c r="AF1401" s="1">
        <v>10013</v>
      </c>
      <c r="AI1401" s="1" t="s">
        <v>45</v>
      </c>
      <c r="AJ1401" s="1">
        <v>2016</v>
      </c>
      <c r="AK1401" s="1" t="s">
        <v>46</v>
      </c>
      <c r="AL1401" s="1">
        <v>111</v>
      </c>
    </row>
    <row r="1402" spans="1:38" x14ac:dyDescent="0.2">
      <c r="A1402" s="2" t="str">
        <f>HYPERLINK("https://www.compass.com/listing/133-mulberry-street-unit-3a-manhattan-ny-10013/29359711161753153/","133 Mulberry St, Unit 3A")</f>
        <v>133 Mulberry St, Unit 3A</v>
      </c>
      <c r="B1402" s="2" t="str">
        <f>HYPERLINK("https://www.compass.com/building/133-mulberry-st-manhattan-ny-10013/281916941336083477/","133 Mulberry St")</f>
        <v>133 Mulberry St</v>
      </c>
      <c r="C1402" s="1" t="s">
        <v>135</v>
      </c>
      <c r="D1402" s="1" t="s">
        <v>41</v>
      </c>
      <c r="E1402" s="3">
        <v>2545625</v>
      </c>
      <c r="F1402" s="1">
        <v>1648.7208549222701</v>
      </c>
      <c r="G1402" s="1">
        <v>3</v>
      </c>
      <c r="H1402" s="1">
        <v>1</v>
      </c>
      <c r="I1402" s="1">
        <v>2</v>
      </c>
      <c r="J1402" s="1">
        <v>2</v>
      </c>
      <c r="K1402" s="1">
        <v>2</v>
      </c>
      <c r="M1402" s="4">
        <v>1544</v>
      </c>
      <c r="N1402" s="1">
        <v>1164</v>
      </c>
      <c r="O1402" s="1">
        <v>2784.4</v>
      </c>
      <c r="P1402" s="1">
        <v>1620.4166666666599</v>
      </c>
      <c r="Q1402" s="1" t="s">
        <v>42</v>
      </c>
      <c r="S1402" s="1" t="s">
        <v>42</v>
      </c>
      <c r="T1402" s="1" t="s">
        <v>203</v>
      </c>
      <c r="U1402" s="1">
        <v>69</v>
      </c>
      <c r="V1402" s="5">
        <v>43677</v>
      </c>
      <c r="W1402" s="5">
        <v>42214</v>
      </c>
      <c r="X1402" s="1">
        <v>2500000</v>
      </c>
      <c r="Y1402" s="1">
        <v>2500000</v>
      </c>
      <c r="Z1402" s="5">
        <v>42283</v>
      </c>
      <c r="AA1402" s="1">
        <v>2545625</v>
      </c>
      <c r="AB1402" s="1" t="s">
        <v>1083</v>
      </c>
      <c r="AC1402" s="5">
        <v>42538</v>
      </c>
      <c r="AF1402" s="1">
        <v>10013</v>
      </c>
      <c r="AI1402" s="1" t="s">
        <v>971</v>
      </c>
      <c r="AJ1402" s="1">
        <v>1893</v>
      </c>
      <c r="AK1402" s="1" t="s">
        <v>137</v>
      </c>
      <c r="AL1402" s="1">
        <v>18</v>
      </c>
    </row>
    <row r="1403" spans="1:38" x14ac:dyDescent="0.2">
      <c r="A1403" s="2" t="str">
        <f>HYPERLINK("https://www.compass.com/listing/91-leonard-street-unit-16f-manhattan-ny-10013/201277734113074241/","91 Leonard St, Unit 16F")</f>
        <v>91 Leonard St, Unit 16F</v>
      </c>
      <c r="B1403" s="2" t="str">
        <f t="shared" ref="B1403:B1408" si="250">HYPERLINK("https://www.compass.com/building/91-leonard-manhattan-ny/282058661633754165/","91 Leonard")</f>
        <v>91 Leonard</v>
      </c>
      <c r="C1403" s="1" t="s">
        <v>40</v>
      </c>
      <c r="D1403" s="1" t="s">
        <v>41</v>
      </c>
      <c r="E1403" s="3">
        <v>2475000</v>
      </c>
      <c r="F1403" s="1">
        <v>1703.37233310392</v>
      </c>
      <c r="G1403" s="1">
        <v>6</v>
      </c>
      <c r="H1403" s="1">
        <v>2</v>
      </c>
      <c r="I1403" s="1">
        <v>2</v>
      </c>
      <c r="J1403" s="1">
        <v>2</v>
      </c>
      <c r="K1403" s="1">
        <v>2</v>
      </c>
      <c r="M1403" s="4">
        <v>1453</v>
      </c>
      <c r="N1403" s="1">
        <v>1792</v>
      </c>
      <c r="O1403" s="1">
        <v>4529</v>
      </c>
      <c r="P1403" s="1">
        <v>2737</v>
      </c>
      <c r="Q1403" s="1" t="s">
        <v>42</v>
      </c>
      <c r="S1403" s="1" t="s">
        <v>42</v>
      </c>
      <c r="T1403" s="1" t="s">
        <v>203</v>
      </c>
      <c r="V1403" s="5">
        <v>44314</v>
      </c>
      <c r="W1403" s="5">
        <v>43532</v>
      </c>
      <c r="X1403" s="1">
        <v>2511000</v>
      </c>
      <c r="Y1403" s="1">
        <v>2511000</v>
      </c>
      <c r="Z1403" s="5">
        <v>43532</v>
      </c>
      <c r="AA1403" s="1">
        <v>2475000</v>
      </c>
      <c r="AB1403" s="1" t="s">
        <v>1084</v>
      </c>
      <c r="AC1403" s="5">
        <v>43697</v>
      </c>
      <c r="AF1403" s="1">
        <v>10013</v>
      </c>
      <c r="AI1403" s="1" t="s">
        <v>52</v>
      </c>
      <c r="AJ1403" s="1">
        <v>2016</v>
      </c>
      <c r="AK1403" s="1" t="s">
        <v>81</v>
      </c>
      <c r="AL1403" s="1">
        <v>111</v>
      </c>
    </row>
    <row r="1404" spans="1:38" x14ac:dyDescent="0.2">
      <c r="A1404" s="2" t="str">
        <f>HYPERLINK("https://www.compass.com/listing/91-leonard-street-unit-13g-manhattan-ny-10013/206542048700957041/","91 Leonard St, Unit 13G")</f>
        <v>91 Leonard St, Unit 13G</v>
      </c>
      <c r="B1404" s="2" t="str">
        <f t="shared" si="250"/>
        <v>91 Leonard</v>
      </c>
      <c r="C1404" s="1" t="s">
        <v>40</v>
      </c>
      <c r="D1404" s="1" t="s">
        <v>41</v>
      </c>
      <c r="E1404" s="3">
        <v>2457000</v>
      </c>
      <c r="F1404" s="1">
        <v>1690.9841706813399</v>
      </c>
      <c r="G1404" s="1">
        <v>6</v>
      </c>
      <c r="H1404" s="1">
        <v>2</v>
      </c>
      <c r="I1404" s="1">
        <v>2</v>
      </c>
      <c r="J1404" s="1">
        <v>2</v>
      </c>
      <c r="K1404" s="1">
        <v>2</v>
      </c>
      <c r="M1404" s="4">
        <v>1453</v>
      </c>
      <c r="N1404" s="1">
        <v>1777</v>
      </c>
      <c r="O1404" s="1">
        <v>4491</v>
      </c>
      <c r="P1404" s="1">
        <v>2714</v>
      </c>
      <c r="Q1404" s="1" t="s">
        <v>42</v>
      </c>
      <c r="S1404" s="1" t="s">
        <v>42</v>
      </c>
      <c r="T1404" s="1" t="s">
        <v>203</v>
      </c>
      <c r="V1404" s="5">
        <v>44314</v>
      </c>
      <c r="W1404" s="5">
        <v>43537</v>
      </c>
      <c r="X1404" s="1">
        <v>2457000</v>
      </c>
      <c r="Y1404" s="1">
        <v>2457000</v>
      </c>
      <c r="Z1404" s="5">
        <v>43537</v>
      </c>
      <c r="AA1404" s="1">
        <v>2457000</v>
      </c>
      <c r="AB1404" s="1" t="s">
        <v>1085</v>
      </c>
      <c r="AC1404" s="5">
        <v>43686</v>
      </c>
      <c r="AF1404" s="1">
        <v>10013</v>
      </c>
      <c r="AI1404" s="1" t="s">
        <v>52</v>
      </c>
      <c r="AJ1404" s="1">
        <v>2016</v>
      </c>
      <c r="AK1404" s="1" t="s">
        <v>81</v>
      </c>
      <c r="AL1404" s="1">
        <v>111</v>
      </c>
    </row>
    <row r="1405" spans="1:38" x14ac:dyDescent="0.2">
      <c r="A1405" s="2" t="str">
        <f>HYPERLINK("https://www.compass.com/listing/91-leonard-street-unit-7g-manhattan-ny-10013/307913148358856817/","91 Leonard St, Unit 7G")</f>
        <v>91 Leonard St, Unit 7G</v>
      </c>
      <c r="B1405" s="2" t="str">
        <f t="shared" si="250"/>
        <v>91 Leonard</v>
      </c>
      <c r="C1405" s="1" t="s">
        <v>40</v>
      </c>
      <c r="D1405" s="1" t="s">
        <v>41</v>
      </c>
      <c r="E1405" s="3">
        <v>2633200</v>
      </c>
      <c r="F1405" s="1">
        <v>1572.9988052568599</v>
      </c>
      <c r="G1405" s="1">
        <v>4</v>
      </c>
      <c r="H1405" s="1">
        <v>2</v>
      </c>
      <c r="I1405" s="1">
        <v>3</v>
      </c>
      <c r="J1405" s="1">
        <v>2.5</v>
      </c>
      <c r="K1405" s="1">
        <v>2</v>
      </c>
      <c r="L1405" s="1">
        <v>1</v>
      </c>
      <c r="M1405" s="4">
        <v>1674</v>
      </c>
      <c r="N1405" s="1">
        <v>2032</v>
      </c>
      <c r="O1405" s="1">
        <v>5136</v>
      </c>
      <c r="P1405" s="1">
        <v>3104</v>
      </c>
      <c r="Q1405" s="1" t="s">
        <v>42</v>
      </c>
      <c r="S1405" s="1" t="s">
        <v>42</v>
      </c>
      <c r="T1405" s="1" t="s">
        <v>203</v>
      </c>
      <c r="V1405" s="5">
        <v>44314</v>
      </c>
      <c r="W1405" s="5">
        <v>43677</v>
      </c>
      <c r="X1405" s="1">
        <v>2700000</v>
      </c>
      <c r="Y1405" s="1">
        <v>2700000</v>
      </c>
      <c r="Z1405" s="5">
        <v>43677</v>
      </c>
      <c r="AA1405" s="1">
        <v>2633200</v>
      </c>
      <c r="AB1405" s="1" t="s">
        <v>1086</v>
      </c>
      <c r="AC1405" s="5">
        <v>43783</v>
      </c>
      <c r="AF1405" s="1">
        <v>10013</v>
      </c>
      <c r="AI1405" s="1" t="s">
        <v>998</v>
      </c>
      <c r="AJ1405" s="1">
        <v>2016</v>
      </c>
      <c r="AK1405" s="1" t="s">
        <v>81</v>
      </c>
      <c r="AL1405" s="1">
        <v>111</v>
      </c>
    </row>
    <row r="1406" spans="1:38" x14ac:dyDescent="0.2">
      <c r="A1406" s="2" t="str">
        <f>HYPERLINK("https://www.compass.com/listing/91-leonard-street-unit-12a-manhattan-ny-10013/693577915792213113/","91 Leonard St, Unit 12A")</f>
        <v>91 Leonard St, Unit 12A</v>
      </c>
      <c r="B1406" s="2" t="str">
        <f t="shared" si="250"/>
        <v>91 Leonard</v>
      </c>
      <c r="C1406" s="1" t="s">
        <v>40</v>
      </c>
      <c r="D1406" s="1" t="s">
        <v>41</v>
      </c>
      <c r="E1406" s="3">
        <v>2935818</v>
      </c>
      <c r="F1406" s="1">
        <v>1989.0368563685599</v>
      </c>
      <c r="H1406" s="1">
        <v>2</v>
      </c>
      <c r="J1406" s="1">
        <v>2.5</v>
      </c>
      <c r="M1406" s="4">
        <v>1476</v>
      </c>
      <c r="N1406" s="1">
        <v>1801</v>
      </c>
      <c r="O1406" s="1">
        <v>4551</v>
      </c>
      <c r="P1406" s="1">
        <v>2750</v>
      </c>
      <c r="Q1406" s="1" t="s">
        <v>42</v>
      </c>
      <c r="S1406" s="1" t="s">
        <v>42</v>
      </c>
      <c r="T1406" s="1" t="s">
        <v>203</v>
      </c>
      <c r="V1406" s="5">
        <v>44254</v>
      </c>
      <c r="W1406" s="5">
        <v>43314</v>
      </c>
      <c r="X1406" s="1">
        <v>2880000</v>
      </c>
      <c r="Y1406" s="1">
        <v>2880000</v>
      </c>
      <c r="Z1406" s="5">
        <v>43314</v>
      </c>
      <c r="AA1406" s="1">
        <v>2935818.4</v>
      </c>
      <c r="AB1406" s="1" t="s">
        <v>1087</v>
      </c>
      <c r="AC1406" s="5">
        <v>43886</v>
      </c>
      <c r="AF1406" s="1">
        <v>10013</v>
      </c>
      <c r="AI1406" s="1" t="s">
        <v>45</v>
      </c>
      <c r="AJ1406" s="1">
        <v>2016</v>
      </c>
      <c r="AK1406" s="1" t="s">
        <v>46</v>
      </c>
      <c r="AL1406" s="1">
        <v>111</v>
      </c>
    </row>
    <row r="1407" spans="1:38" x14ac:dyDescent="0.2">
      <c r="A1407" s="2" t="str">
        <f>HYPERLINK("https://www.compass.com/listing/91-leonard-street-unit-4c-manhattan-ny-10013/841462134617275225/","91 Leonard St, Unit 4C")</f>
        <v>91 Leonard St, Unit 4C</v>
      </c>
      <c r="B1407" s="2" t="str">
        <f t="shared" si="250"/>
        <v>91 Leonard</v>
      </c>
      <c r="C1407" s="1" t="s">
        <v>40</v>
      </c>
      <c r="D1407" s="1" t="s">
        <v>41</v>
      </c>
      <c r="E1407" s="3">
        <v>2520000</v>
      </c>
      <c r="F1407" s="1">
        <v>1665.5651024454701</v>
      </c>
      <c r="H1407" s="1">
        <v>2</v>
      </c>
      <c r="I1407" s="1">
        <v>3</v>
      </c>
      <c r="J1407" s="1">
        <v>2.5</v>
      </c>
      <c r="K1407" s="1">
        <v>2</v>
      </c>
      <c r="L1407" s="1">
        <v>1</v>
      </c>
      <c r="M1407" s="4">
        <v>1513</v>
      </c>
      <c r="N1407" s="1">
        <v>1827</v>
      </c>
      <c r="O1407" s="1">
        <v>4617</v>
      </c>
      <c r="P1407" s="1">
        <v>2790</v>
      </c>
      <c r="S1407" s="1" t="s">
        <v>42</v>
      </c>
      <c r="T1407" s="1" t="s">
        <v>203</v>
      </c>
      <c r="U1407" s="1">
        <v>325</v>
      </c>
      <c r="V1407" s="5">
        <v>44414</v>
      </c>
      <c r="W1407" s="5">
        <v>43788</v>
      </c>
      <c r="X1407" s="1">
        <v>2520000</v>
      </c>
      <c r="Y1407" s="1">
        <v>2520000</v>
      </c>
      <c r="AA1407" s="1">
        <v>2500000</v>
      </c>
      <c r="AB1407" s="1" t="s">
        <v>204</v>
      </c>
      <c r="AC1407" s="5">
        <v>44208</v>
      </c>
      <c r="AF1407" s="1">
        <v>10013</v>
      </c>
      <c r="AI1407" s="1" t="s">
        <v>45</v>
      </c>
      <c r="AJ1407" s="1">
        <v>2016</v>
      </c>
      <c r="AK1407" s="1" t="s">
        <v>46</v>
      </c>
      <c r="AL1407" s="1">
        <v>111</v>
      </c>
    </row>
    <row r="1408" spans="1:38" x14ac:dyDescent="0.2">
      <c r="A1408" s="2" t="str">
        <f>HYPERLINK("https://www.compass.com/listing/91-leonard-street-unit-10a-manhattan-ny-10013/841541754679436089/","91 Leonard St, Unit 10A")</f>
        <v>91 Leonard St, Unit 10A</v>
      </c>
      <c r="B1408" s="2" t="str">
        <f t="shared" si="250"/>
        <v>91 Leonard</v>
      </c>
      <c r="C1408" s="1" t="s">
        <v>40</v>
      </c>
      <c r="D1408" s="1" t="s">
        <v>41</v>
      </c>
      <c r="E1408" s="3">
        <v>2833993</v>
      </c>
      <c r="F1408" s="1">
        <v>1923.9599456890601</v>
      </c>
      <c r="H1408" s="1">
        <v>2</v>
      </c>
      <c r="I1408" s="1">
        <v>3</v>
      </c>
      <c r="J1408" s="1">
        <v>2.5</v>
      </c>
      <c r="K1408" s="1">
        <v>2</v>
      </c>
      <c r="L1408" s="1">
        <v>1</v>
      </c>
      <c r="M1408" s="4">
        <v>1473</v>
      </c>
      <c r="N1408" s="1">
        <v>1792</v>
      </c>
      <c r="O1408" s="1">
        <v>4529</v>
      </c>
      <c r="P1408" s="1">
        <v>2737</v>
      </c>
      <c r="S1408" s="1" t="s">
        <v>42</v>
      </c>
      <c r="T1408" s="1" t="s">
        <v>203</v>
      </c>
      <c r="U1408" s="1">
        <v>7</v>
      </c>
      <c r="V1408" s="5">
        <v>43784</v>
      </c>
      <c r="W1408" s="5">
        <v>43774</v>
      </c>
      <c r="X1408" s="1">
        <v>2810000</v>
      </c>
      <c r="Y1408" s="1">
        <v>2810000</v>
      </c>
      <c r="AA1408" s="1">
        <v>2833993</v>
      </c>
      <c r="AB1408" s="1" t="s">
        <v>204</v>
      </c>
      <c r="AC1408" s="5">
        <v>43782</v>
      </c>
      <c r="AF1408" s="1">
        <v>10013</v>
      </c>
      <c r="AI1408" s="1" t="s">
        <v>45</v>
      </c>
      <c r="AJ1408" s="1">
        <v>2016</v>
      </c>
      <c r="AK1408" s="1" t="s">
        <v>121</v>
      </c>
      <c r="AL1408" s="1">
        <v>111</v>
      </c>
    </row>
    <row r="1409" spans="1:38" x14ac:dyDescent="0.2">
      <c r="A1409" s="2" t="str">
        <f>HYPERLINK("https://www.compass.com/listing/555-west-end-avenue-unit-5e-manhattan-ny-10024/404257077186089489/","555 W End Ave, Unit 5E")</f>
        <v>555 W End Ave, Unit 5E</v>
      </c>
      <c r="B1409" s="2" t="str">
        <f t="shared" ref="B1409:B1410" si="251">HYPERLINK("https://www.compass.com/building/555-west-end-avenue-manhattan-ny/292874438096018885/","555 West End Avenue")</f>
        <v>555 West End Avenue</v>
      </c>
      <c r="C1409" s="1" t="s">
        <v>47</v>
      </c>
      <c r="D1409" s="1" t="s">
        <v>41</v>
      </c>
      <c r="E1409" s="3">
        <v>9999999</v>
      </c>
      <c r="F1409" s="1">
        <v>2878.5259067357501</v>
      </c>
      <c r="G1409" s="1">
        <v>7.5</v>
      </c>
      <c r="H1409" s="1">
        <v>5</v>
      </c>
      <c r="I1409" s="1">
        <v>5</v>
      </c>
      <c r="J1409" s="1">
        <v>4.5</v>
      </c>
      <c r="K1409" s="1">
        <v>4</v>
      </c>
      <c r="L1409" s="1">
        <v>1</v>
      </c>
      <c r="M1409" s="4">
        <v>3474</v>
      </c>
      <c r="N1409" s="1">
        <v>4778</v>
      </c>
      <c r="O1409" s="1">
        <v>9080</v>
      </c>
      <c r="P1409" s="1">
        <v>4302</v>
      </c>
      <c r="Q1409" s="1" t="s">
        <v>42</v>
      </c>
      <c r="S1409" s="1" t="s">
        <v>42</v>
      </c>
      <c r="T1409" s="1" t="s">
        <v>203</v>
      </c>
      <c r="V1409" s="5">
        <v>44343</v>
      </c>
      <c r="W1409" s="5">
        <v>43810</v>
      </c>
      <c r="X1409" s="1">
        <v>10600000</v>
      </c>
      <c r="Y1409" s="1">
        <v>10600000</v>
      </c>
      <c r="Z1409" s="5">
        <v>43810</v>
      </c>
      <c r="AA1409" s="1">
        <v>9999999</v>
      </c>
      <c r="AB1409" s="1" t="s">
        <v>242</v>
      </c>
      <c r="AC1409" s="5">
        <v>43879</v>
      </c>
      <c r="AF1409" s="1">
        <v>10024</v>
      </c>
      <c r="AJ1409" s="1">
        <v>2019</v>
      </c>
      <c r="AK1409" s="1" t="s">
        <v>87</v>
      </c>
      <c r="AL1409" s="1">
        <v>13</v>
      </c>
    </row>
    <row r="1410" spans="1:38" x14ac:dyDescent="0.2">
      <c r="A1410" s="2" t="str">
        <f>HYPERLINK("https://www.compass.com/listing/555-west-end-avenue-unit-4e-manhattan-ny-10024/89802427104010529/","555 W End Ave, Unit 4E")</f>
        <v>555 W End Ave, Unit 4E</v>
      </c>
      <c r="B1410" s="2" t="str">
        <f t="shared" si="251"/>
        <v>555 West End Avenue</v>
      </c>
      <c r="C1410" s="1" t="s">
        <v>47</v>
      </c>
      <c r="D1410" s="1" t="s">
        <v>41</v>
      </c>
      <c r="E1410" s="3">
        <v>9900000</v>
      </c>
      <c r="F1410" s="1">
        <v>2849.7409326424799</v>
      </c>
      <c r="G1410" s="1">
        <v>7</v>
      </c>
      <c r="H1410" s="1">
        <v>5</v>
      </c>
      <c r="I1410" s="1">
        <v>5</v>
      </c>
      <c r="J1410" s="1">
        <v>4.5</v>
      </c>
      <c r="K1410" s="1">
        <v>4</v>
      </c>
      <c r="L1410" s="1">
        <v>1</v>
      </c>
      <c r="M1410" s="4">
        <v>3474</v>
      </c>
      <c r="N1410" s="1">
        <v>4668</v>
      </c>
      <c r="O1410" s="1">
        <v>10026</v>
      </c>
      <c r="P1410" s="1">
        <v>5358</v>
      </c>
      <c r="Q1410" s="1" t="s">
        <v>143</v>
      </c>
      <c r="S1410" s="1" t="s">
        <v>42</v>
      </c>
      <c r="T1410" s="1" t="s">
        <v>203</v>
      </c>
      <c r="U1410" s="1">
        <v>403</v>
      </c>
      <c r="V1410" s="5">
        <v>44344</v>
      </c>
      <c r="W1410" s="5">
        <v>43376</v>
      </c>
      <c r="X1410" s="1">
        <v>10300000</v>
      </c>
      <c r="Y1410" s="1">
        <v>10300000</v>
      </c>
      <c r="Z1410" s="5">
        <v>43779</v>
      </c>
      <c r="AA1410" s="1">
        <v>9900000</v>
      </c>
      <c r="AB1410" s="1" t="s">
        <v>241</v>
      </c>
      <c r="AC1410" s="5">
        <v>43815</v>
      </c>
      <c r="AF1410" s="1">
        <v>10024</v>
      </c>
      <c r="AJ1410" s="1">
        <v>2019</v>
      </c>
      <c r="AK1410" s="1" t="s">
        <v>87</v>
      </c>
      <c r="AL1410" s="1">
        <v>13</v>
      </c>
    </row>
    <row r="1411" spans="1:38" x14ac:dyDescent="0.2">
      <c r="A1411" s="2" t="str">
        <f>HYPERLINK("https://www.compass.com/listing/91-leonard-street-unit-10f-manhattan-ny-10013/201277729809664145/","91 Leonard St, Unit 10F")</f>
        <v>91 Leonard St, Unit 10F</v>
      </c>
      <c r="B1411" s="2" t="str">
        <f>HYPERLINK("https://www.compass.com/building/91-leonard-manhattan-ny/282058661633754165/","91 Leonard")</f>
        <v>91 Leonard</v>
      </c>
      <c r="C1411" s="1" t="s">
        <v>40</v>
      </c>
      <c r="D1411" s="1" t="s">
        <v>41</v>
      </c>
      <c r="E1411" s="3">
        <v>3989707</v>
      </c>
      <c r="F1411" s="1">
        <v>1841.1200507614201</v>
      </c>
      <c r="G1411" s="1">
        <v>7</v>
      </c>
      <c r="H1411" s="1">
        <v>3</v>
      </c>
      <c r="I1411" s="1">
        <v>3</v>
      </c>
      <c r="J1411" s="1">
        <v>3</v>
      </c>
      <c r="K1411" s="1">
        <v>3</v>
      </c>
      <c r="M1411" s="4">
        <v>2167</v>
      </c>
      <c r="N1411" s="1">
        <v>2655</v>
      </c>
      <c r="O1411" s="1">
        <v>6710</v>
      </c>
      <c r="P1411" s="1">
        <v>4055</v>
      </c>
      <c r="Q1411" s="1" t="s">
        <v>42</v>
      </c>
      <c r="S1411" s="1" t="s">
        <v>42</v>
      </c>
      <c r="T1411" s="1" t="s">
        <v>203</v>
      </c>
      <c r="V1411" s="5">
        <v>44334</v>
      </c>
      <c r="W1411" s="5">
        <v>43530</v>
      </c>
      <c r="X1411" s="1">
        <v>3915000</v>
      </c>
      <c r="Y1411" s="1">
        <v>3915000</v>
      </c>
      <c r="Z1411" s="5">
        <v>43530</v>
      </c>
      <c r="AA1411" s="1">
        <v>3989707.15</v>
      </c>
      <c r="AB1411" s="1" t="s">
        <v>1088</v>
      </c>
      <c r="AC1411" s="5">
        <v>43742</v>
      </c>
      <c r="AF1411" s="1">
        <v>10013</v>
      </c>
      <c r="AI1411" s="1" t="s">
        <v>52</v>
      </c>
      <c r="AJ1411" s="1">
        <v>2016</v>
      </c>
      <c r="AK1411" s="1" t="s">
        <v>81</v>
      </c>
      <c r="AL1411" s="1">
        <v>111</v>
      </c>
    </row>
    <row r="1412" spans="1:38" x14ac:dyDescent="0.2">
      <c r="A1412" s="2" t="str">
        <f>HYPERLINK("https://www.compass.com/listing/70-vestry-street-unit-4f-manhattan-ny-10013/783875694701055801/","70 Vestry St, Unit 4F")</f>
        <v>70 Vestry St, Unit 4F</v>
      </c>
      <c r="B1412" s="2" t="str">
        <f>HYPERLINK("https://www.compass.com/building/70-vestry-st-manhattan-ny-10013/281921126949489413/","70 Vestry St")</f>
        <v>70 Vestry St</v>
      </c>
      <c r="C1412" s="1" t="s">
        <v>40</v>
      </c>
      <c r="D1412" s="1" t="s">
        <v>41</v>
      </c>
      <c r="E1412" s="3">
        <v>7550000</v>
      </c>
      <c r="F1412" s="1">
        <v>3087.93456032719</v>
      </c>
      <c r="G1412" s="1">
        <v>5</v>
      </c>
      <c r="H1412" s="1">
        <v>3</v>
      </c>
      <c r="I1412" s="1">
        <v>4</v>
      </c>
      <c r="J1412" s="1">
        <v>3.5</v>
      </c>
      <c r="K1412" s="1">
        <v>3</v>
      </c>
      <c r="L1412" s="1">
        <v>1</v>
      </c>
      <c r="M1412" s="4">
        <v>2445</v>
      </c>
      <c r="N1412" s="1">
        <v>4123</v>
      </c>
      <c r="O1412" s="1">
        <v>8714</v>
      </c>
      <c r="P1412" s="1">
        <v>4591</v>
      </c>
      <c r="Q1412" s="1" t="s">
        <v>42</v>
      </c>
      <c r="S1412" s="1" t="s">
        <v>42</v>
      </c>
      <c r="T1412" s="1" t="s">
        <v>203</v>
      </c>
      <c r="U1412" s="1">
        <v>23</v>
      </c>
      <c r="V1412" s="5">
        <v>44340</v>
      </c>
      <c r="W1412" s="5">
        <v>44270</v>
      </c>
      <c r="X1412" s="1">
        <v>7995000</v>
      </c>
      <c r="Y1412" s="1">
        <v>7995000</v>
      </c>
      <c r="Z1412" s="5">
        <v>44293</v>
      </c>
      <c r="AA1412" s="1">
        <v>7550000</v>
      </c>
      <c r="AB1412" s="1" t="s">
        <v>1089</v>
      </c>
      <c r="AC1412" s="5">
        <v>44334</v>
      </c>
      <c r="AF1412" s="1">
        <v>10013</v>
      </c>
      <c r="AI1412" s="1" t="s">
        <v>58</v>
      </c>
      <c r="AJ1412" s="1">
        <v>2018</v>
      </c>
      <c r="AK1412" s="1" t="s">
        <v>81</v>
      </c>
      <c r="AL1412" s="1">
        <v>46</v>
      </c>
    </row>
    <row r="1413" spans="1:38" x14ac:dyDescent="0.2">
      <c r="A1413" s="2" t="str">
        <f>HYPERLINK("https://www.compass.com/listing/133-mulberry-street-unit-3d-manhattan-ny-10013/29359712143220305/","133 Mulberry St, Unit 3D")</f>
        <v>133 Mulberry St, Unit 3D</v>
      </c>
      <c r="B1413" s="2" t="str">
        <f>HYPERLINK("https://www.compass.com/building/133-mulberry-st-manhattan-ny-10013/281916941336083477/","133 Mulberry St")</f>
        <v>133 Mulberry St</v>
      </c>
      <c r="C1413" s="1" t="s">
        <v>135</v>
      </c>
      <c r="D1413" s="1" t="s">
        <v>41</v>
      </c>
      <c r="E1413" s="3">
        <v>2927469</v>
      </c>
      <c r="F1413" s="1">
        <v>1608.4994505494501</v>
      </c>
      <c r="G1413" s="1">
        <v>4</v>
      </c>
      <c r="H1413" s="1">
        <v>3</v>
      </c>
      <c r="I1413" s="1">
        <v>2</v>
      </c>
      <c r="J1413" s="1">
        <v>2</v>
      </c>
      <c r="K1413" s="1">
        <v>2</v>
      </c>
      <c r="M1413" s="4">
        <v>1820</v>
      </c>
      <c r="N1413" s="1">
        <v>1372.64</v>
      </c>
      <c r="O1413" s="1">
        <v>3282.69</v>
      </c>
      <c r="P1413" s="1">
        <v>1910.0833333333301</v>
      </c>
      <c r="Q1413" s="1" t="s">
        <v>42</v>
      </c>
      <c r="S1413" s="1" t="s">
        <v>42</v>
      </c>
      <c r="T1413" s="1" t="s">
        <v>203</v>
      </c>
      <c r="U1413" s="1">
        <v>178</v>
      </c>
      <c r="V1413" s="5">
        <v>43677</v>
      </c>
      <c r="W1413" s="5">
        <v>42214</v>
      </c>
      <c r="X1413" s="1">
        <v>3200000</v>
      </c>
      <c r="Y1413" s="1">
        <v>2995000</v>
      </c>
      <c r="Z1413" s="5">
        <v>42392</v>
      </c>
      <c r="AA1413" s="1">
        <v>2927469</v>
      </c>
      <c r="AB1413" s="1" t="s">
        <v>1090</v>
      </c>
      <c r="AC1413" s="5">
        <v>42517</v>
      </c>
      <c r="AF1413" s="1">
        <v>10013</v>
      </c>
      <c r="AI1413" s="1" t="s">
        <v>166</v>
      </c>
      <c r="AJ1413" s="1">
        <v>1893</v>
      </c>
      <c r="AK1413" s="1" t="s">
        <v>137</v>
      </c>
      <c r="AL1413" s="1">
        <v>18</v>
      </c>
    </row>
    <row r="1414" spans="1:38" x14ac:dyDescent="0.2">
      <c r="A1414" s="2" t="str">
        <f>HYPERLINK("https://www.compass.com/listing/175-west-95th-street-unit-23h-manhattan-ny-10025/29400335420233825/","175 W 95th St, Unit 23H")</f>
        <v>175 W 95th St, Unit 23H</v>
      </c>
      <c r="B1414" s="2" t="str">
        <f>HYPERLINK("https://www.compass.com/building/175-w-95th-manhattan-ny/292876785429866517/","175 W 95th")</f>
        <v>175 W 95th</v>
      </c>
      <c r="C1414" s="1" t="s">
        <v>47</v>
      </c>
      <c r="D1414" s="1" t="s">
        <v>41</v>
      </c>
      <c r="E1414" s="3">
        <v>733140</v>
      </c>
      <c r="F1414" s="1">
        <v>1454.6428571428501</v>
      </c>
      <c r="H1414" s="1" t="s">
        <v>69</v>
      </c>
      <c r="J1414" s="1">
        <v>1</v>
      </c>
      <c r="K1414" s="1">
        <v>1</v>
      </c>
      <c r="M1414" s="1">
        <v>504</v>
      </c>
      <c r="N1414" s="1">
        <v>579</v>
      </c>
      <c r="O1414" s="1">
        <v>932.5</v>
      </c>
      <c r="P1414" s="1">
        <v>353.5</v>
      </c>
      <c r="Q1414" s="1" t="s">
        <v>42</v>
      </c>
      <c r="S1414" s="1" t="s">
        <v>42</v>
      </c>
      <c r="T1414" s="1" t="s">
        <v>203</v>
      </c>
      <c r="AA1414" s="1">
        <v>733140</v>
      </c>
      <c r="AB1414" s="1" t="s">
        <v>1091</v>
      </c>
      <c r="AC1414" s="5">
        <v>42307</v>
      </c>
      <c r="AF1414" s="1">
        <v>10025</v>
      </c>
      <c r="AI1414" s="1" t="s">
        <v>52</v>
      </c>
      <c r="AJ1414" s="1">
        <v>1971</v>
      </c>
      <c r="AK1414" s="1" t="s">
        <v>50</v>
      </c>
      <c r="AL1414" s="1">
        <v>226</v>
      </c>
    </row>
    <row r="1415" spans="1:38" x14ac:dyDescent="0.2">
      <c r="A1415" s="2" t="str">
        <f>HYPERLINK("https://www.compass.com/listing/70-vestry-street-unit-3f-manhattan-ny-10013/29514344941298705/","70 Vestry St, Unit 3F")</f>
        <v>70 Vestry St, Unit 3F</v>
      </c>
      <c r="B1415" s="2" t="str">
        <f t="shared" ref="B1415:B1417" si="252">HYPERLINK("https://www.compass.com/building/70-vestry-st-manhattan-ny-10013/281921126949489413/","70 Vestry St")</f>
        <v>70 Vestry St</v>
      </c>
      <c r="C1415" s="1" t="s">
        <v>40</v>
      </c>
      <c r="D1415" s="1" t="s">
        <v>41</v>
      </c>
      <c r="E1415" s="3">
        <v>6500000</v>
      </c>
      <c r="F1415" s="1">
        <v>2657.3998364677</v>
      </c>
      <c r="G1415" s="1">
        <v>5</v>
      </c>
      <c r="H1415" s="1">
        <v>3</v>
      </c>
      <c r="I1415" s="1">
        <v>4</v>
      </c>
      <c r="J1415" s="1">
        <v>3.5</v>
      </c>
      <c r="K1415" s="1">
        <v>3</v>
      </c>
      <c r="L1415" s="1">
        <v>1</v>
      </c>
      <c r="M1415" s="4">
        <v>2446</v>
      </c>
      <c r="N1415" s="1">
        <v>4121</v>
      </c>
      <c r="O1415" s="1">
        <v>8516</v>
      </c>
      <c r="P1415" s="1">
        <v>4395</v>
      </c>
      <c r="Q1415" s="1" t="s">
        <v>42</v>
      </c>
      <c r="S1415" s="1" t="s">
        <v>42</v>
      </c>
      <c r="T1415" s="1" t="s">
        <v>203</v>
      </c>
      <c r="U1415" s="1">
        <v>1529</v>
      </c>
      <c r="V1415" s="5">
        <v>44271</v>
      </c>
      <c r="W1415" s="5">
        <v>42593</v>
      </c>
      <c r="X1415" s="1">
        <v>7250000</v>
      </c>
      <c r="Y1415" s="1">
        <v>6995000</v>
      </c>
      <c r="Z1415" s="5">
        <v>44216</v>
      </c>
      <c r="AA1415" s="1">
        <v>6500000</v>
      </c>
      <c r="AB1415" s="1" t="s">
        <v>1092</v>
      </c>
      <c r="AC1415" s="5">
        <v>44265</v>
      </c>
      <c r="AF1415" s="1">
        <v>10013</v>
      </c>
      <c r="AI1415" s="1" t="s">
        <v>58</v>
      </c>
      <c r="AJ1415" s="1">
        <v>2018</v>
      </c>
      <c r="AK1415" s="1" t="s">
        <v>81</v>
      </c>
      <c r="AL1415" s="1">
        <v>46</v>
      </c>
    </row>
    <row r="1416" spans="1:38" x14ac:dyDescent="0.2">
      <c r="A1416" s="2" t="str">
        <f>HYPERLINK("https://www.compass.com/listing/70-vestry-street-unit-4f-manhattan-ny-10013/803351512373552833/","70 Vestry St, Unit 4F")</f>
        <v>70 Vestry St, Unit 4F</v>
      </c>
      <c r="B1416" s="2" t="str">
        <f t="shared" si="252"/>
        <v>70 Vestry St</v>
      </c>
      <c r="C1416" s="1" t="s">
        <v>40</v>
      </c>
      <c r="D1416" s="1" t="s">
        <v>41</v>
      </c>
      <c r="E1416" s="3">
        <v>7550000</v>
      </c>
      <c r="F1416" s="1">
        <v>3087.93456032719</v>
      </c>
      <c r="G1416" s="1">
        <v>5</v>
      </c>
      <c r="H1416" s="1">
        <v>3</v>
      </c>
      <c r="I1416" s="1">
        <v>4</v>
      </c>
      <c r="J1416" s="1">
        <v>3.5</v>
      </c>
      <c r="K1416" s="1">
        <v>3</v>
      </c>
      <c r="L1416" s="1">
        <v>1</v>
      </c>
      <c r="M1416" s="4">
        <v>2445</v>
      </c>
      <c r="N1416" s="1">
        <v>4123</v>
      </c>
      <c r="O1416" s="1">
        <v>8520</v>
      </c>
      <c r="P1416" s="1">
        <v>4397</v>
      </c>
      <c r="Q1416" s="1" t="s">
        <v>42</v>
      </c>
      <c r="S1416" s="1" t="s">
        <v>42</v>
      </c>
      <c r="T1416" s="1" t="s">
        <v>203</v>
      </c>
      <c r="V1416" s="5">
        <v>44271</v>
      </c>
      <c r="W1416" s="5">
        <v>42864</v>
      </c>
      <c r="X1416" s="1">
        <v>8495000</v>
      </c>
      <c r="Y1416" s="1">
        <v>8495000</v>
      </c>
      <c r="AA1416" s="1">
        <v>7550000</v>
      </c>
      <c r="AB1416" s="1" t="s">
        <v>1089</v>
      </c>
      <c r="AC1416" s="5">
        <v>44334</v>
      </c>
      <c r="AF1416" s="1">
        <v>10013</v>
      </c>
      <c r="AI1416" s="1" t="s">
        <v>58</v>
      </c>
      <c r="AJ1416" s="1">
        <v>2018</v>
      </c>
      <c r="AK1416" s="1" t="s">
        <v>81</v>
      </c>
      <c r="AL1416" s="1">
        <v>46</v>
      </c>
    </row>
    <row r="1417" spans="1:38" x14ac:dyDescent="0.2">
      <c r="A1417" s="2" t="str">
        <f>HYPERLINK("https://www.compass.com/listing/70-vestry-street-unit-5d-manhattan-ny-10013/69531523627377153/","70 Vestry St, Unit 5D")</f>
        <v>70 Vestry St, Unit 5D</v>
      </c>
      <c r="B1417" s="2" t="str">
        <f t="shared" si="252"/>
        <v>70 Vestry St</v>
      </c>
      <c r="C1417" s="1" t="s">
        <v>40</v>
      </c>
      <c r="D1417" s="1" t="s">
        <v>41</v>
      </c>
      <c r="E1417" s="3">
        <v>11255500</v>
      </c>
      <c r="F1417" s="1">
        <v>4438.2886435331202</v>
      </c>
      <c r="G1417" s="1">
        <v>5</v>
      </c>
      <c r="H1417" s="1">
        <v>3</v>
      </c>
      <c r="I1417" s="1">
        <v>4</v>
      </c>
      <c r="J1417" s="1">
        <v>3.5</v>
      </c>
      <c r="K1417" s="1">
        <v>3</v>
      </c>
      <c r="L1417" s="1">
        <v>1</v>
      </c>
      <c r="M1417" s="4">
        <v>2536</v>
      </c>
      <c r="N1417" s="1">
        <v>4296</v>
      </c>
      <c r="O1417" s="1">
        <v>8860</v>
      </c>
      <c r="P1417" s="1">
        <v>4564</v>
      </c>
      <c r="Q1417" s="1" t="s">
        <v>42</v>
      </c>
      <c r="S1417" s="1" t="s">
        <v>42</v>
      </c>
      <c r="T1417" s="1" t="s">
        <v>203</v>
      </c>
      <c r="U1417" s="1">
        <v>44</v>
      </c>
      <c r="V1417" s="5">
        <v>43648</v>
      </c>
      <c r="W1417" s="5">
        <v>43348</v>
      </c>
      <c r="X1417" s="1">
        <v>11295000</v>
      </c>
      <c r="Y1417" s="1">
        <v>11295000</v>
      </c>
      <c r="Z1417" s="5">
        <v>43392</v>
      </c>
      <c r="AA1417" s="1">
        <v>11255500</v>
      </c>
      <c r="AB1417" s="1" t="s">
        <v>1017</v>
      </c>
      <c r="AC1417" s="5">
        <v>43448</v>
      </c>
      <c r="AF1417" s="1">
        <v>10013</v>
      </c>
      <c r="AJ1417" s="1">
        <v>2018</v>
      </c>
      <c r="AK1417" s="1" t="s">
        <v>81</v>
      </c>
      <c r="AL1417" s="1">
        <v>46</v>
      </c>
    </row>
    <row r="1418" spans="1:38" x14ac:dyDescent="0.2">
      <c r="A1418" s="2" t="str">
        <f>HYPERLINK("https://www.compass.com/listing/91-leonard-street-unit-ph4-manhattan-ny-10013/34689494959545393/","91 Leonard St, Unit PH4")</f>
        <v>91 Leonard St, Unit PH4</v>
      </c>
      <c r="B1418" s="2" t="str">
        <f t="shared" ref="B1418:B1419" si="253">HYPERLINK("https://www.compass.com/building/91-leonard-manhattan-ny/282058661633754165/","91 Leonard")</f>
        <v>91 Leonard</v>
      </c>
      <c r="C1418" s="1" t="s">
        <v>40</v>
      </c>
      <c r="D1418" s="1" t="s">
        <v>41</v>
      </c>
      <c r="E1418" s="3">
        <v>10003200</v>
      </c>
      <c r="F1418" s="1">
        <v>2834.5706999149902</v>
      </c>
      <c r="G1418" s="1">
        <v>7</v>
      </c>
      <c r="H1418" s="1">
        <v>4</v>
      </c>
      <c r="I1418" s="1">
        <v>5</v>
      </c>
      <c r="J1418" s="1">
        <v>4.5</v>
      </c>
      <c r="K1418" s="1">
        <v>4</v>
      </c>
      <c r="L1418" s="1">
        <v>1</v>
      </c>
      <c r="M1418" s="4">
        <v>3529</v>
      </c>
      <c r="N1418" s="1">
        <v>4758</v>
      </c>
      <c r="O1418" s="1">
        <v>12107</v>
      </c>
      <c r="P1418" s="1">
        <v>7349</v>
      </c>
      <c r="Q1418" s="1" t="s">
        <v>42</v>
      </c>
      <c r="S1418" s="1" t="s">
        <v>42</v>
      </c>
      <c r="T1418" s="1" t="s">
        <v>203</v>
      </c>
      <c r="U1418" s="1">
        <v>268</v>
      </c>
      <c r="V1418" s="5">
        <v>44314</v>
      </c>
      <c r="W1418" s="5">
        <v>43031</v>
      </c>
      <c r="X1418" s="1">
        <v>10490000</v>
      </c>
      <c r="Y1418" s="1">
        <v>10490000</v>
      </c>
      <c r="Z1418" s="5">
        <v>43300</v>
      </c>
      <c r="AA1418" s="1">
        <v>10003200</v>
      </c>
      <c r="AB1418" s="1" t="s">
        <v>1093</v>
      </c>
      <c r="AC1418" s="5">
        <v>43794</v>
      </c>
      <c r="AF1418" s="1">
        <v>10013</v>
      </c>
      <c r="AI1418" s="1" t="s">
        <v>108</v>
      </c>
      <c r="AJ1418" s="1">
        <v>2016</v>
      </c>
      <c r="AK1418" s="1" t="s">
        <v>81</v>
      </c>
      <c r="AL1418" s="1">
        <v>111</v>
      </c>
    </row>
    <row r="1419" spans="1:38" x14ac:dyDescent="0.2">
      <c r="A1419" s="2" t="str">
        <f>HYPERLINK("https://www.compass.com/listing/91-leonard-street-unit-14a-manhattan-ny-10013/34689491704838001/","91 Leonard St, Unit 14A")</f>
        <v>91 Leonard St, Unit 14A</v>
      </c>
      <c r="B1419" s="2" t="str">
        <f t="shared" si="253"/>
        <v>91 Leonard</v>
      </c>
      <c r="C1419" s="1" t="s">
        <v>40</v>
      </c>
      <c r="D1419" s="1" t="s">
        <v>41</v>
      </c>
      <c r="E1419" s="3">
        <v>4851831</v>
      </c>
      <c r="F1419" s="1">
        <v>2659.9949835526299</v>
      </c>
      <c r="G1419" s="1">
        <v>5</v>
      </c>
      <c r="H1419" s="1">
        <v>3</v>
      </c>
      <c r="I1419" s="1">
        <v>3</v>
      </c>
      <c r="J1419" s="1">
        <v>3</v>
      </c>
      <c r="K1419" s="1">
        <v>3</v>
      </c>
      <c r="M1419" s="4">
        <v>1824</v>
      </c>
      <c r="N1419" s="1">
        <v>2396</v>
      </c>
      <c r="O1419" s="1">
        <v>6056</v>
      </c>
      <c r="P1419" s="1">
        <v>3660</v>
      </c>
      <c r="Q1419" s="1" t="s">
        <v>42</v>
      </c>
      <c r="S1419" s="1" t="s">
        <v>42</v>
      </c>
      <c r="T1419" s="1" t="s">
        <v>203</v>
      </c>
      <c r="U1419" s="1">
        <v>403</v>
      </c>
      <c r="V1419" s="5">
        <v>44314</v>
      </c>
      <c r="W1419" s="5">
        <v>43277</v>
      </c>
      <c r="X1419" s="1">
        <v>4750000</v>
      </c>
      <c r="Y1419" s="1">
        <v>4750000</v>
      </c>
      <c r="Z1419" s="5">
        <v>43681</v>
      </c>
      <c r="AA1419" s="1">
        <v>4851830.8499999996</v>
      </c>
      <c r="AB1419" s="1" t="s">
        <v>1094</v>
      </c>
      <c r="AC1419" s="5">
        <v>43781</v>
      </c>
      <c r="AF1419" s="1">
        <v>10013</v>
      </c>
      <c r="AI1419" s="1" t="s">
        <v>108</v>
      </c>
      <c r="AJ1419" s="1">
        <v>2016</v>
      </c>
      <c r="AK1419" s="1" t="s">
        <v>81</v>
      </c>
      <c r="AL1419" s="1">
        <v>111</v>
      </c>
    </row>
    <row r="1420" spans="1:38" x14ac:dyDescent="0.2">
      <c r="A1420" s="2" t="str">
        <f>HYPERLINK("https://www.compass.com/listing/70-vestry-street-unit-4d-manhattan-ny-10013/20246925395686625/","70 Vestry St, Unit 4D")</f>
        <v>70 Vestry St, Unit 4D</v>
      </c>
      <c r="B1420" s="2" t="str">
        <f t="shared" ref="B1420:B1421" si="254">HYPERLINK("https://www.compass.com/building/70-vestry-st-manhattan-ny-10013/281921126949489413/","70 Vestry St")</f>
        <v>70 Vestry St</v>
      </c>
      <c r="C1420" s="1" t="s">
        <v>40</v>
      </c>
      <c r="D1420" s="1" t="s">
        <v>41</v>
      </c>
      <c r="E1420" s="3">
        <v>10100000</v>
      </c>
      <c r="F1420" s="1">
        <v>3982.6498422712898</v>
      </c>
      <c r="G1420" s="1">
        <v>5</v>
      </c>
      <c r="H1420" s="1">
        <v>3</v>
      </c>
      <c r="I1420" s="1">
        <v>3</v>
      </c>
      <c r="J1420" s="1">
        <v>3.5</v>
      </c>
      <c r="K1420" s="1">
        <v>3</v>
      </c>
      <c r="L1420" s="1">
        <v>1</v>
      </c>
      <c r="M1420" s="4">
        <v>2536</v>
      </c>
      <c r="N1420" s="1">
        <v>4276</v>
      </c>
      <c r="O1420" s="1">
        <v>8836</v>
      </c>
      <c r="P1420" s="1">
        <v>4560</v>
      </c>
      <c r="Q1420" s="1" t="s">
        <v>42</v>
      </c>
      <c r="S1420" s="1" t="s">
        <v>42</v>
      </c>
      <c r="T1420" s="1" t="s">
        <v>203</v>
      </c>
      <c r="U1420" s="1">
        <v>77</v>
      </c>
      <c r="V1420" s="5">
        <v>43806</v>
      </c>
      <c r="W1420" s="5">
        <v>42594</v>
      </c>
      <c r="X1420" s="1">
        <v>10950000</v>
      </c>
      <c r="Y1420" s="1">
        <v>10950000</v>
      </c>
      <c r="Z1420" s="5">
        <v>42671</v>
      </c>
      <c r="AA1420" s="1">
        <v>10100000</v>
      </c>
      <c r="AB1420" s="1" t="s">
        <v>1095</v>
      </c>
      <c r="AC1420" s="5">
        <v>43264</v>
      </c>
      <c r="AF1420" s="1">
        <v>10013</v>
      </c>
      <c r="AJ1420" s="1">
        <v>2018</v>
      </c>
      <c r="AK1420" s="1" t="s">
        <v>81</v>
      </c>
      <c r="AL1420" s="1">
        <v>46</v>
      </c>
    </row>
    <row r="1421" spans="1:38" x14ac:dyDescent="0.2">
      <c r="A1421" s="2" t="str">
        <f>HYPERLINK("https://www.compass.com/listing/70-vestry-street-unit-4e-manhattan-ny-10013/28302209036854977/","70 Vestry St, Unit 4E")</f>
        <v>70 Vestry St, Unit 4E</v>
      </c>
      <c r="B1421" s="2" t="str">
        <f t="shared" si="254"/>
        <v>70 Vestry St</v>
      </c>
      <c r="C1421" s="1" t="s">
        <v>40</v>
      </c>
      <c r="D1421" s="1" t="s">
        <v>41</v>
      </c>
      <c r="E1421" s="3">
        <v>10188000</v>
      </c>
      <c r="F1421" s="1">
        <v>3436.0876897133198</v>
      </c>
      <c r="G1421" s="1">
        <v>5</v>
      </c>
      <c r="H1421" s="1">
        <v>3</v>
      </c>
      <c r="I1421" s="1">
        <v>3</v>
      </c>
      <c r="J1421" s="1">
        <v>3.5</v>
      </c>
      <c r="K1421" s="1">
        <v>3</v>
      </c>
      <c r="L1421" s="1">
        <v>1</v>
      </c>
      <c r="M1421" s="4">
        <v>2965</v>
      </c>
      <c r="N1421" s="1">
        <v>4997</v>
      </c>
      <c r="O1421" s="1">
        <v>10326</v>
      </c>
      <c r="P1421" s="1">
        <v>5329</v>
      </c>
      <c r="Q1421" s="1" t="s">
        <v>42</v>
      </c>
      <c r="S1421" s="1" t="s">
        <v>42</v>
      </c>
      <c r="T1421" s="1" t="s">
        <v>203</v>
      </c>
      <c r="U1421" s="1">
        <v>133</v>
      </c>
      <c r="V1421" s="5">
        <v>43806</v>
      </c>
      <c r="W1421" s="5">
        <v>42600</v>
      </c>
      <c r="X1421" s="1">
        <v>10750000</v>
      </c>
      <c r="Y1421" s="1">
        <v>10750000</v>
      </c>
      <c r="Z1421" s="5">
        <v>42733</v>
      </c>
      <c r="AA1421" s="1">
        <v>10188000</v>
      </c>
      <c r="AB1421" s="1" t="s">
        <v>1096</v>
      </c>
      <c r="AC1421" s="5">
        <v>43269</v>
      </c>
      <c r="AF1421" s="1">
        <v>10013</v>
      </c>
      <c r="AJ1421" s="1">
        <v>2018</v>
      </c>
      <c r="AK1421" s="1" t="s">
        <v>81</v>
      </c>
      <c r="AL1421" s="1">
        <v>46</v>
      </c>
    </row>
    <row r="1422" spans="1:38" x14ac:dyDescent="0.2">
      <c r="A1422" s="2" t="str">
        <f>HYPERLINK("https://www.compass.com/listing/91-leonard-street-unit-13f-manhattan-ny-10013/278843150741546577/","91 Leonard St, Unit 13F")</f>
        <v>91 Leonard St, Unit 13F</v>
      </c>
      <c r="B1422" s="2" t="str">
        <f>HYPERLINK("https://www.compass.com/building/91-leonard-manhattan-ny/282058661633754165/","91 Leonard")</f>
        <v>91 Leonard</v>
      </c>
      <c r="C1422" s="1" t="s">
        <v>40</v>
      </c>
      <c r="D1422" s="1" t="s">
        <v>41</v>
      </c>
      <c r="E1422" s="3">
        <v>3838000</v>
      </c>
      <c r="F1422" s="1">
        <v>2024.2616033755201</v>
      </c>
      <c r="G1422" s="1">
        <v>4</v>
      </c>
      <c r="H1422" s="1">
        <v>3</v>
      </c>
      <c r="I1422" s="1">
        <v>3</v>
      </c>
      <c r="J1422" s="1">
        <v>3</v>
      </c>
      <c r="K1422" s="1">
        <v>3</v>
      </c>
      <c r="M1422" s="4">
        <v>1896</v>
      </c>
      <c r="N1422" s="1">
        <v>2328</v>
      </c>
      <c r="O1422" s="1">
        <v>5883</v>
      </c>
      <c r="P1422" s="1">
        <v>3555</v>
      </c>
      <c r="Q1422" s="1" t="s">
        <v>42</v>
      </c>
      <c r="S1422" s="1" t="s">
        <v>42</v>
      </c>
      <c r="T1422" s="1" t="s">
        <v>203</v>
      </c>
      <c r="U1422" s="1">
        <v>126</v>
      </c>
      <c r="V1422" s="5">
        <v>44314</v>
      </c>
      <c r="W1422" s="5">
        <v>43637</v>
      </c>
      <c r="X1422" s="1">
        <v>3987000</v>
      </c>
      <c r="Y1422" s="1">
        <v>3987000</v>
      </c>
      <c r="Z1422" s="5">
        <v>43763</v>
      </c>
      <c r="AA1422" s="1">
        <v>3838000</v>
      </c>
      <c r="AB1422" s="1" t="s">
        <v>1097</v>
      </c>
      <c r="AC1422" s="5">
        <v>43924</v>
      </c>
      <c r="AF1422" s="1">
        <v>10013</v>
      </c>
      <c r="AI1422" s="1" t="s">
        <v>103</v>
      </c>
      <c r="AJ1422" s="1">
        <v>2016</v>
      </c>
      <c r="AK1422" s="1" t="s">
        <v>81</v>
      </c>
      <c r="AL1422" s="1">
        <v>111</v>
      </c>
    </row>
    <row r="1423" spans="1:38" x14ac:dyDescent="0.2">
      <c r="A1423" s="2" t="str">
        <f>HYPERLINK("https://www.compass.com/listing/555-west-end-avenue-unit-6e-manhattan-ny-10024/455112222608697577/","555 W End Ave, Unit 6E")</f>
        <v>555 W End Ave, Unit 6E</v>
      </c>
      <c r="B1423" s="2" t="str">
        <f>HYPERLINK("https://www.compass.com/building/555-west-end-avenue-manhattan-ny/292874438096018885/","555 West End Avenue")</f>
        <v>555 West End Avenue</v>
      </c>
      <c r="C1423" s="1" t="s">
        <v>47</v>
      </c>
      <c r="D1423" s="1" t="s">
        <v>41</v>
      </c>
      <c r="E1423" s="3">
        <v>10750000</v>
      </c>
      <c r="F1423" s="1">
        <v>3081.1120664946902</v>
      </c>
      <c r="G1423" s="1">
        <v>7</v>
      </c>
      <c r="H1423" s="1">
        <v>5</v>
      </c>
      <c r="I1423" s="1">
        <v>5</v>
      </c>
      <c r="J1423" s="1">
        <v>4.5</v>
      </c>
      <c r="K1423" s="1">
        <v>4</v>
      </c>
      <c r="L1423" s="1">
        <v>1</v>
      </c>
      <c r="M1423" s="4">
        <v>3489</v>
      </c>
      <c r="N1423" s="1">
        <v>4800</v>
      </c>
      <c r="O1423" s="1">
        <v>9122</v>
      </c>
      <c r="P1423" s="1">
        <v>4322</v>
      </c>
      <c r="Q1423" s="1" t="s">
        <v>42</v>
      </c>
      <c r="S1423" s="1" t="s">
        <v>42</v>
      </c>
      <c r="T1423" s="1" t="s">
        <v>203</v>
      </c>
      <c r="V1423" s="5">
        <v>44343</v>
      </c>
      <c r="W1423" s="5">
        <v>43880</v>
      </c>
      <c r="X1423" s="1">
        <v>10900000</v>
      </c>
      <c r="Y1423" s="1">
        <v>10900000</v>
      </c>
      <c r="Z1423" s="5">
        <v>43880</v>
      </c>
      <c r="AA1423" s="1">
        <v>10750000</v>
      </c>
      <c r="AB1423" s="1" t="s">
        <v>243</v>
      </c>
      <c r="AC1423" s="5">
        <v>43901</v>
      </c>
      <c r="AF1423" s="1">
        <v>10024</v>
      </c>
      <c r="AJ1423" s="1">
        <v>2019</v>
      </c>
      <c r="AK1423" s="1" t="s">
        <v>87</v>
      </c>
      <c r="AL1423" s="1">
        <v>13</v>
      </c>
    </row>
    <row r="1424" spans="1:38" x14ac:dyDescent="0.2">
      <c r="A1424" s="2" t="str">
        <f>HYPERLINK("https://www.compass.com/listing/133-mulberry-street-unit-6c-manhattan-ny-10013/70911875063295473/","133 Mulberry St, Unit 6C")</f>
        <v>133 Mulberry St, Unit 6C</v>
      </c>
      <c r="B1424" s="2" t="str">
        <f t="shared" ref="B1424:B1425" si="255">HYPERLINK("https://www.compass.com/building/133-mulberry-st-manhattan-ny-10013/281916941336083477/","133 Mulberry St")</f>
        <v>133 Mulberry St</v>
      </c>
      <c r="C1424" s="1" t="s">
        <v>135</v>
      </c>
      <c r="D1424" s="1" t="s">
        <v>41</v>
      </c>
      <c r="E1424" s="3">
        <v>1250000</v>
      </c>
      <c r="F1424" s="1">
        <v>1556.66251556662</v>
      </c>
      <c r="G1424" s="1">
        <v>3</v>
      </c>
      <c r="H1424" s="1">
        <v>1</v>
      </c>
      <c r="I1424" s="1">
        <v>1</v>
      </c>
      <c r="J1424" s="1">
        <v>1</v>
      </c>
      <c r="K1424" s="1">
        <v>1</v>
      </c>
      <c r="M1424" s="1">
        <v>803</v>
      </c>
      <c r="Q1424" s="1" t="s">
        <v>42</v>
      </c>
      <c r="S1424" s="1" t="s">
        <v>42</v>
      </c>
      <c r="T1424" s="1" t="s">
        <v>203</v>
      </c>
      <c r="U1424" s="1">
        <v>113</v>
      </c>
      <c r="V1424" s="5">
        <v>43630</v>
      </c>
      <c r="W1424" s="5">
        <v>42543</v>
      </c>
      <c r="X1424" s="1">
        <v>1450000</v>
      </c>
      <c r="Y1424" s="1">
        <v>1300000</v>
      </c>
      <c r="Z1424" s="5">
        <v>42656</v>
      </c>
      <c r="AA1424" s="1">
        <v>1250000</v>
      </c>
      <c r="AB1424" s="1" t="s">
        <v>1098</v>
      </c>
      <c r="AC1424" s="5">
        <v>42720</v>
      </c>
      <c r="AF1424" s="1">
        <v>10013</v>
      </c>
      <c r="AI1424" s="1" t="s">
        <v>971</v>
      </c>
      <c r="AJ1424" s="1">
        <v>1893</v>
      </c>
      <c r="AK1424" s="1" t="s">
        <v>137</v>
      </c>
      <c r="AL1424" s="1">
        <v>18</v>
      </c>
    </row>
    <row r="1425" spans="1:38" x14ac:dyDescent="0.2">
      <c r="A1425" s="2" t="str">
        <f>HYPERLINK("https://www.compass.com/listing/133-mulberry-street-unit-5c-manhattan-ny-10013/29359713904832081/","133 Mulberry St, Unit 5C")</f>
        <v>133 Mulberry St, Unit 5C</v>
      </c>
      <c r="B1425" s="2" t="str">
        <f t="shared" si="255"/>
        <v>133 Mulberry St</v>
      </c>
      <c r="C1425" s="1" t="s">
        <v>135</v>
      </c>
      <c r="D1425" s="1" t="s">
        <v>41</v>
      </c>
      <c r="E1425" s="3">
        <v>1975000</v>
      </c>
      <c r="F1425" s="1">
        <v>1427.0231213872801</v>
      </c>
      <c r="G1425" s="1">
        <v>4</v>
      </c>
      <c r="H1425" s="1">
        <v>2</v>
      </c>
      <c r="I1425" s="1">
        <v>2</v>
      </c>
      <c r="J1425" s="1">
        <v>2</v>
      </c>
      <c r="K1425" s="1">
        <v>2</v>
      </c>
      <c r="M1425" s="4">
        <v>1384</v>
      </c>
      <c r="N1425" s="1">
        <v>921</v>
      </c>
      <c r="O1425" s="1">
        <v>2609</v>
      </c>
      <c r="P1425" s="1">
        <v>1688</v>
      </c>
      <c r="Q1425" s="1" t="s">
        <v>42</v>
      </c>
      <c r="S1425" s="1" t="s">
        <v>42</v>
      </c>
      <c r="T1425" s="1" t="s">
        <v>203</v>
      </c>
      <c r="U1425" s="1">
        <v>282</v>
      </c>
      <c r="V1425" s="5">
        <v>44287</v>
      </c>
      <c r="W1425" s="5">
        <v>42755</v>
      </c>
      <c r="X1425" s="1">
        <v>2500000</v>
      </c>
      <c r="Y1425" s="1">
        <v>1995000</v>
      </c>
      <c r="AA1425" s="1">
        <v>1975000</v>
      </c>
      <c r="AB1425" s="1" t="s">
        <v>980</v>
      </c>
      <c r="AC1425" s="5">
        <v>43129</v>
      </c>
      <c r="AF1425" s="1">
        <v>10013</v>
      </c>
      <c r="AI1425" s="1" t="s">
        <v>45</v>
      </c>
      <c r="AJ1425" s="1">
        <v>1893</v>
      </c>
      <c r="AK1425" s="1" t="s">
        <v>137</v>
      </c>
      <c r="AL1425" s="1">
        <v>18</v>
      </c>
    </row>
    <row r="1426" spans="1:38" x14ac:dyDescent="0.2">
      <c r="A1426" s="2" t="str">
        <f>HYPERLINK("https://www.compass.com/listing/175-west-95th-street-unit-7h-manhattan-ny-10025/29400321042238033/","175 W 95th St, Unit 7H")</f>
        <v>175 W 95th St, Unit 7H</v>
      </c>
      <c r="B1426" s="2" t="str">
        <f>HYPERLINK("https://www.compass.com/building/175-w-95th-manhattan-ny/292876785429866517/","175 W 95th")</f>
        <v>175 W 95th</v>
      </c>
      <c r="C1426" s="1" t="s">
        <v>47</v>
      </c>
      <c r="D1426" s="1" t="s">
        <v>41</v>
      </c>
      <c r="E1426" s="3">
        <v>354141</v>
      </c>
      <c r="F1426" s="1">
        <v>702.65972222222194</v>
      </c>
      <c r="H1426" s="1" t="s">
        <v>77</v>
      </c>
      <c r="J1426" s="1">
        <v>1</v>
      </c>
      <c r="K1426" s="1">
        <v>1</v>
      </c>
      <c r="M1426" s="1">
        <v>504</v>
      </c>
      <c r="N1426" s="1">
        <v>537.94000000000005</v>
      </c>
      <c r="O1426" s="1">
        <v>850.36</v>
      </c>
      <c r="P1426" s="1">
        <v>312.416666666666</v>
      </c>
      <c r="Q1426" s="1" t="s">
        <v>42</v>
      </c>
      <c r="S1426" s="1" t="s">
        <v>42</v>
      </c>
      <c r="T1426" s="1" t="s">
        <v>203</v>
      </c>
      <c r="AA1426" s="1">
        <v>354140.5</v>
      </c>
      <c r="AB1426" s="1" t="s">
        <v>1099</v>
      </c>
      <c r="AC1426" s="5">
        <v>42318</v>
      </c>
      <c r="AF1426" s="1">
        <v>10025</v>
      </c>
      <c r="AI1426" s="1" t="s">
        <v>52</v>
      </c>
      <c r="AJ1426" s="1">
        <v>1971</v>
      </c>
      <c r="AK1426" s="1" t="s">
        <v>50</v>
      </c>
      <c r="AL1426" s="1">
        <v>226</v>
      </c>
    </row>
    <row r="1427" spans="1:38" x14ac:dyDescent="0.2">
      <c r="A1427" s="2" t="str">
        <f>HYPERLINK("https://www.compass.com/listing/70-vestry-street-unit-6a-manhattan-ny-10013/29514344572158033/","70 Vestry St, Unit 6A")</f>
        <v>70 Vestry St, Unit 6A</v>
      </c>
      <c r="B1427" s="2" t="str">
        <f t="shared" ref="B1427:B1428" si="256">HYPERLINK("https://www.compass.com/building/70-vestry-st-manhattan-ny-10013/281921126949489413/","70 Vestry St")</f>
        <v>70 Vestry St</v>
      </c>
      <c r="C1427" s="1" t="s">
        <v>40</v>
      </c>
      <c r="D1427" s="1" t="s">
        <v>41</v>
      </c>
      <c r="E1427" s="3">
        <v>8955350</v>
      </c>
      <c r="F1427" s="1">
        <v>3148.8572433192599</v>
      </c>
      <c r="G1427" s="1">
        <v>6</v>
      </c>
      <c r="H1427" s="1">
        <v>4</v>
      </c>
      <c r="I1427" s="1">
        <v>5</v>
      </c>
      <c r="J1427" s="1">
        <v>4.5</v>
      </c>
      <c r="K1427" s="1">
        <v>4</v>
      </c>
      <c r="L1427" s="1">
        <v>1</v>
      </c>
      <c r="M1427" s="4">
        <v>2844</v>
      </c>
      <c r="N1427" s="1">
        <v>4800</v>
      </c>
      <c r="O1427" s="1">
        <v>9919</v>
      </c>
      <c r="P1427" s="1">
        <v>5119</v>
      </c>
      <c r="Q1427" s="1" t="s">
        <v>42</v>
      </c>
      <c r="S1427" s="1" t="s">
        <v>42</v>
      </c>
      <c r="T1427" s="1" t="s">
        <v>203</v>
      </c>
      <c r="U1427" s="1">
        <v>1040</v>
      </c>
      <c r="V1427" s="5">
        <v>43818</v>
      </c>
      <c r="W1427" s="5">
        <v>42741</v>
      </c>
      <c r="X1427" s="1">
        <v>8950000</v>
      </c>
      <c r="Y1427" s="1">
        <v>9750000</v>
      </c>
      <c r="Z1427" s="5">
        <v>43782</v>
      </c>
      <c r="AA1427" s="1">
        <v>8955350</v>
      </c>
      <c r="AB1427" s="1" t="s">
        <v>1100</v>
      </c>
      <c r="AC1427" s="5">
        <v>43804</v>
      </c>
      <c r="AF1427" s="1">
        <v>10013</v>
      </c>
      <c r="AJ1427" s="1">
        <v>2018</v>
      </c>
      <c r="AK1427" s="1" t="s">
        <v>81</v>
      </c>
      <c r="AL1427" s="1">
        <v>46</v>
      </c>
    </row>
    <row r="1428" spans="1:38" x14ac:dyDescent="0.2">
      <c r="A1428" s="2" t="str">
        <f>HYPERLINK("https://www.compass.com/listing/70-vestry-street-unit-9s-manhattan-ny-10013/29514345637511313/","70 Vestry St, Unit 9S")</f>
        <v>70 Vestry St, Unit 9S</v>
      </c>
      <c r="B1428" s="2" t="str">
        <f t="shared" si="256"/>
        <v>70 Vestry St</v>
      </c>
      <c r="C1428" s="1" t="s">
        <v>40</v>
      </c>
      <c r="D1428" s="1" t="s">
        <v>41</v>
      </c>
      <c r="E1428" s="3">
        <v>21412500</v>
      </c>
      <c r="F1428" s="1">
        <v>4916.7623421354701</v>
      </c>
      <c r="G1428" s="1">
        <v>7</v>
      </c>
      <c r="H1428" s="1">
        <v>4</v>
      </c>
      <c r="I1428" s="1">
        <v>5</v>
      </c>
      <c r="J1428" s="1">
        <v>4.5</v>
      </c>
      <c r="K1428" s="1">
        <v>4</v>
      </c>
      <c r="L1428" s="1">
        <v>1</v>
      </c>
      <c r="M1428" s="4">
        <v>4355</v>
      </c>
      <c r="N1428" s="1">
        <v>7570</v>
      </c>
      <c r="O1428" s="1">
        <v>15643</v>
      </c>
      <c r="P1428" s="1">
        <v>8073</v>
      </c>
      <c r="Q1428" s="1" t="s">
        <v>42</v>
      </c>
      <c r="S1428" s="1" t="s">
        <v>42</v>
      </c>
      <c r="T1428" s="1" t="s">
        <v>203</v>
      </c>
      <c r="U1428" s="1">
        <v>609</v>
      </c>
      <c r="V1428" s="5">
        <v>43641</v>
      </c>
      <c r="W1428" s="5">
        <v>42816</v>
      </c>
      <c r="X1428" s="1">
        <v>22500000</v>
      </c>
      <c r="Y1428" s="1">
        <v>23500000</v>
      </c>
      <c r="Z1428" s="5">
        <v>43425</v>
      </c>
      <c r="AA1428" s="1">
        <v>21412500</v>
      </c>
      <c r="AB1428" s="1" t="s">
        <v>1101</v>
      </c>
      <c r="AC1428" s="5">
        <v>43448</v>
      </c>
      <c r="AF1428" s="1">
        <v>10013</v>
      </c>
      <c r="AI1428" s="1" t="s">
        <v>93</v>
      </c>
      <c r="AJ1428" s="1">
        <v>2018</v>
      </c>
      <c r="AK1428" s="1" t="s">
        <v>81</v>
      </c>
      <c r="AL1428" s="1">
        <v>46</v>
      </c>
    </row>
    <row r="1429" spans="1:38" x14ac:dyDescent="0.2">
      <c r="A1429" s="2" t="str">
        <f>HYPERLINK("https://www.compass.com/listing/91-leonard-street-unit-7e-manhattan-ny-10013/841570577517179745/","91 Leonard St, Unit 7E")</f>
        <v>91 Leonard St, Unit 7E</v>
      </c>
      <c r="B1429" s="2" t="str">
        <f>HYPERLINK("https://www.compass.com/building/91-leonard-manhattan-ny/282058661633754165/","91 Leonard")</f>
        <v>91 Leonard</v>
      </c>
      <c r="C1429" s="1" t="s">
        <v>40</v>
      </c>
      <c r="D1429" s="1" t="s">
        <v>41</v>
      </c>
      <c r="E1429" s="3">
        <v>1480000</v>
      </c>
      <c r="F1429" s="1">
        <v>1655.4809843400401</v>
      </c>
      <c r="G1429" s="1">
        <v>3</v>
      </c>
      <c r="H1429" s="1">
        <v>1</v>
      </c>
      <c r="J1429" s="1">
        <v>1.5</v>
      </c>
      <c r="K1429" s="1">
        <v>1</v>
      </c>
      <c r="L1429" s="1">
        <v>1</v>
      </c>
      <c r="M1429" s="1">
        <v>894</v>
      </c>
      <c r="N1429" s="1">
        <v>1062</v>
      </c>
      <c r="O1429" s="1">
        <v>2684</v>
      </c>
      <c r="P1429" s="1">
        <v>1622</v>
      </c>
      <c r="S1429" s="1" t="s">
        <v>42</v>
      </c>
      <c r="T1429" s="1" t="s">
        <v>203</v>
      </c>
      <c r="U1429" s="1">
        <v>14</v>
      </c>
      <c r="V1429" s="5">
        <v>44415</v>
      </c>
      <c r="W1429" s="5">
        <v>43565</v>
      </c>
      <c r="X1429" s="1">
        <v>1480000</v>
      </c>
      <c r="Y1429" s="1">
        <v>1480000</v>
      </c>
      <c r="Z1429" s="5">
        <v>43579</v>
      </c>
      <c r="AA1429" s="1">
        <v>1480000</v>
      </c>
      <c r="AB1429" s="1" t="s">
        <v>204</v>
      </c>
      <c r="AC1429" s="5">
        <v>44209</v>
      </c>
      <c r="AF1429" s="1">
        <v>10013</v>
      </c>
      <c r="AI1429" s="1" t="s">
        <v>45</v>
      </c>
      <c r="AJ1429" s="1">
        <v>2016</v>
      </c>
      <c r="AK1429" s="1" t="s">
        <v>46</v>
      </c>
      <c r="AL1429" s="1">
        <v>111</v>
      </c>
    </row>
    <row r="1430" spans="1:38" x14ac:dyDescent="0.2">
      <c r="A1430" s="2" t="str">
        <f>HYPERLINK("https://www.compass.com/listing/555-west-end-avenue-unit-5w-manhattan-ny-10024/125241880815369873/","555 W End Ave, Unit 5W")</f>
        <v>555 W End Ave, Unit 5W</v>
      </c>
      <c r="B1430" s="2" t="str">
        <f t="shared" ref="B1430:B1431" si="257">HYPERLINK("https://www.compass.com/building/555-west-end-avenue-manhattan-ny/292874438096018885/","555 West End Avenue")</f>
        <v>555 West End Avenue</v>
      </c>
      <c r="C1430" s="1" t="s">
        <v>47</v>
      </c>
      <c r="D1430" s="1" t="s">
        <v>41</v>
      </c>
      <c r="E1430" s="3">
        <v>8300000</v>
      </c>
      <c r="F1430" s="1">
        <v>3055.9646539027899</v>
      </c>
      <c r="G1430" s="1">
        <v>6</v>
      </c>
      <c r="H1430" s="1">
        <v>4</v>
      </c>
      <c r="I1430" s="1">
        <v>5</v>
      </c>
      <c r="J1430" s="1">
        <v>4.5</v>
      </c>
      <c r="K1430" s="1">
        <v>4</v>
      </c>
      <c r="L1430" s="1">
        <v>1</v>
      </c>
      <c r="M1430" s="4">
        <v>2716</v>
      </c>
      <c r="N1430" s="1">
        <v>3735</v>
      </c>
      <c r="O1430" s="1">
        <v>7098</v>
      </c>
      <c r="P1430" s="1">
        <v>3363</v>
      </c>
      <c r="Q1430" s="1" t="s">
        <v>42</v>
      </c>
      <c r="S1430" s="1" t="s">
        <v>42</v>
      </c>
      <c r="T1430" s="1" t="s">
        <v>203</v>
      </c>
      <c r="V1430" s="5">
        <v>44344</v>
      </c>
      <c r="W1430" s="5">
        <v>43425</v>
      </c>
      <c r="X1430" s="1">
        <v>8600000</v>
      </c>
      <c r="Y1430" s="1">
        <v>8600000</v>
      </c>
      <c r="Z1430" s="5">
        <v>43425</v>
      </c>
      <c r="AA1430" s="1">
        <v>8300000</v>
      </c>
      <c r="AB1430" s="1" t="s">
        <v>245</v>
      </c>
      <c r="AC1430" s="5">
        <v>43867</v>
      </c>
      <c r="AF1430" s="1">
        <v>10024</v>
      </c>
      <c r="AJ1430" s="1">
        <v>2019</v>
      </c>
      <c r="AK1430" s="1" t="s">
        <v>87</v>
      </c>
      <c r="AL1430" s="1">
        <v>13</v>
      </c>
    </row>
    <row r="1431" spans="1:38" x14ac:dyDescent="0.2">
      <c r="A1431" s="2" t="str">
        <f>HYPERLINK("https://www.compass.com/listing/555-west-end-avenue-unit-4e-manhattan-ny-10024/803339613586289689/","555 W End Ave, Unit 4E")</f>
        <v>555 W End Ave, Unit 4E</v>
      </c>
      <c r="B1431" s="2" t="str">
        <f t="shared" si="257"/>
        <v>555 West End Avenue</v>
      </c>
      <c r="C1431" s="1" t="s">
        <v>47</v>
      </c>
      <c r="D1431" s="1" t="s">
        <v>41</v>
      </c>
      <c r="E1431" s="3">
        <v>9900000</v>
      </c>
      <c r="F1431" s="1">
        <v>2849.7409326424799</v>
      </c>
      <c r="G1431" s="1">
        <v>7</v>
      </c>
      <c r="H1431" s="1">
        <v>5</v>
      </c>
      <c r="I1431" s="1">
        <v>5</v>
      </c>
      <c r="J1431" s="1">
        <v>4.5</v>
      </c>
      <c r="K1431" s="1">
        <v>4</v>
      </c>
      <c r="L1431" s="1">
        <v>1</v>
      </c>
      <c r="M1431" s="4">
        <v>3474</v>
      </c>
      <c r="N1431" s="1">
        <v>4668</v>
      </c>
      <c r="O1431" s="1">
        <v>10026</v>
      </c>
      <c r="P1431" s="1">
        <v>5358</v>
      </c>
      <c r="Q1431" s="1" t="s">
        <v>42</v>
      </c>
      <c r="S1431" s="1" t="s">
        <v>42</v>
      </c>
      <c r="T1431" s="1" t="s">
        <v>203</v>
      </c>
      <c r="U1431" s="1">
        <v>440</v>
      </c>
      <c r="V1431" s="5">
        <v>43678</v>
      </c>
      <c r="W1431" s="5">
        <v>43375</v>
      </c>
      <c r="X1431" s="1">
        <v>10300000</v>
      </c>
      <c r="Y1431" s="1">
        <v>10300000</v>
      </c>
      <c r="AA1431" s="1">
        <v>9900000</v>
      </c>
      <c r="AB1431" s="1" t="s">
        <v>241</v>
      </c>
      <c r="AC1431" s="5">
        <v>43815</v>
      </c>
      <c r="AF1431" s="1">
        <v>10024</v>
      </c>
      <c r="AJ1431" s="1">
        <v>2019</v>
      </c>
      <c r="AK1431" s="1" t="s">
        <v>87</v>
      </c>
      <c r="AL1431" s="1">
        <v>13</v>
      </c>
    </row>
    <row r="1432" spans="1:38" x14ac:dyDescent="0.2">
      <c r="A1432" s="2" t="str">
        <f>HYPERLINK("https://www.compass.com/listing/15-leonard-street-unit-6-manhattan-ny-10013/803335299409275889/","15 Leonard St, Unit 6")</f>
        <v>15 Leonard St, Unit 6</v>
      </c>
      <c r="B1432" s="2" t="str">
        <f>HYPERLINK("https://www.compass.com/building/15-leonard-st-manhattan-ny-10013/281917245892885845/","15 Leonard St")</f>
        <v>15 Leonard St</v>
      </c>
      <c r="C1432" s="1" t="s">
        <v>40</v>
      </c>
      <c r="D1432" s="1" t="s">
        <v>41</v>
      </c>
      <c r="E1432" s="3">
        <v>7127750</v>
      </c>
      <c r="F1432" s="1">
        <v>2719.4772987409301</v>
      </c>
      <c r="G1432" s="1">
        <v>6</v>
      </c>
      <c r="H1432" s="1">
        <v>4</v>
      </c>
      <c r="I1432" s="1">
        <v>4</v>
      </c>
      <c r="J1432" s="1">
        <v>3.5</v>
      </c>
      <c r="M1432" s="4">
        <v>2621</v>
      </c>
      <c r="N1432" s="1">
        <v>1987</v>
      </c>
      <c r="O1432" s="1">
        <v>6090</v>
      </c>
      <c r="P1432" s="1">
        <v>4103</v>
      </c>
      <c r="Q1432" s="1" t="s">
        <v>42</v>
      </c>
      <c r="S1432" s="1" t="s">
        <v>42</v>
      </c>
      <c r="T1432" s="1" t="s">
        <v>203</v>
      </c>
      <c r="U1432" s="1">
        <v>273</v>
      </c>
      <c r="V1432" s="5">
        <v>42775</v>
      </c>
      <c r="W1432" s="5">
        <v>42502</v>
      </c>
      <c r="X1432" s="1">
        <v>7998000</v>
      </c>
      <c r="Y1432" s="1">
        <v>7350000</v>
      </c>
      <c r="AA1432" s="1">
        <v>7127750</v>
      </c>
      <c r="AB1432" s="1" t="s">
        <v>981</v>
      </c>
      <c r="AC1432" s="5">
        <v>42810</v>
      </c>
      <c r="AF1432" s="1">
        <v>10013</v>
      </c>
      <c r="AI1432" s="1" t="s">
        <v>148</v>
      </c>
      <c r="AJ1432" s="1">
        <v>2014</v>
      </c>
      <c r="AL1432" s="1">
        <v>6</v>
      </c>
    </row>
    <row r="1433" spans="1:38" x14ac:dyDescent="0.2">
      <c r="A1433" s="2" t="str">
        <f>HYPERLINK("https://www.compass.com/listing/175-west-95th-street-unit-21h-manhattan-ny-10025/70922855516280513/","175 W 95th St, Unit 21H")</f>
        <v>175 W 95th St, Unit 21H</v>
      </c>
      <c r="B1433" s="2" t="str">
        <f>HYPERLINK("https://www.compass.com/building/175-w-95th-manhattan-ny/292876785429866517/","175 W 95th")</f>
        <v>175 W 95th</v>
      </c>
      <c r="C1433" s="1" t="s">
        <v>47</v>
      </c>
      <c r="D1433" s="1" t="s">
        <v>41</v>
      </c>
      <c r="E1433" s="3">
        <v>707684</v>
      </c>
      <c r="F1433" s="1">
        <v>1404.1344246031699</v>
      </c>
      <c r="H1433" s="1" t="s">
        <v>69</v>
      </c>
      <c r="J1433" s="1">
        <v>1</v>
      </c>
      <c r="K1433" s="1">
        <v>1</v>
      </c>
      <c r="M1433" s="1">
        <v>504</v>
      </c>
      <c r="N1433" s="1">
        <v>574</v>
      </c>
      <c r="O1433" s="1">
        <v>811</v>
      </c>
      <c r="P1433" s="1">
        <v>237</v>
      </c>
      <c r="Q1433" s="1" t="s">
        <v>42</v>
      </c>
      <c r="S1433" s="1" t="s">
        <v>42</v>
      </c>
      <c r="T1433" s="1" t="s">
        <v>203</v>
      </c>
      <c r="AA1433" s="1">
        <v>707683.75</v>
      </c>
      <c r="AB1433" s="1" t="s">
        <v>1102</v>
      </c>
      <c r="AC1433" s="5">
        <v>42348</v>
      </c>
      <c r="AF1433" s="1">
        <v>10025</v>
      </c>
      <c r="AI1433" s="1" t="s">
        <v>52</v>
      </c>
      <c r="AJ1433" s="1">
        <v>1971</v>
      </c>
      <c r="AK1433" s="1" t="s">
        <v>50</v>
      </c>
      <c r="AL1433" s="1">
        <v>226</v>
      </c>
    </row>
    <row r="1434" spans="1:38" x14ac:dyDescent="0.2">
      <c r="A1434" s="2" t="str">
        <f>HYPERLINK("https://www.compass.com/listing/70-vestry-street-unit-4b-manhattan-ny-10013/19929605972464033/","70 Vestry St, Unit 4B")</f>
        <v>70 Vestry St, Unit 4B</v>
      </c>
      <c r="B1434" s="2" t="str">
        <f t="shared" ref="B1434:B1436" si="258">HYPERLINK("https://www.compass.com/building/70-vestry-st-manhattan-ny-10013/281921126949489413/","70 Vestry St")</f>
        <v>70 Vestry St</v>
      </c>
      <c r="C1434" s="1" t="s">
        <v>40</v>
      </c>
      <c r="D1434" s="1" t="s">
        <v>41</v>
      </c>
      <c r="E1434" s="3">
        <v>11755500</v>
      </c>
      <c r="F1434" s="1">
        <v>3626.0024676125799</v>
      </c>
      <c r="G1434" s="1">
        <v>6</v>
      </c>
      <c r="H1434" s="1">
        <v>4</v>
      </c>
      <c r="I1434" s="1">
        <v>4</v>
      </c>
      <c r="J1434" s="1">
        <v>4.5</v>
      </c>
      <c r="K1434" s="1">
        <v>4</v>
      </c>
      <c r="L1434" s="1">
        <v>1</v>
      </c>
      <c r="M1434" s="4">
        <v>3242</v>
      </c>
      <c r="N1434" s="1">
        <v>5463</v>
      </c>
      <c r="O1434" s="1">
        <v>11289</v>
      </c>
      <c r="P1434" s="1">
        <v>5826</v>
      </c>
      <c r="Q1434" s="1" t="s">
        <v>42</v>
      </c>
      <c r="S1434" s="1" t="s">
        <v>42</v>
      </c>
      <c r="T1434" s="1" t="s">
        <v>203</v>
      </c>
      <c r="U1434" s="1">
        <v>116</v>
      </c>
      <c r="V1434" s="5">
        <v>43806</v>
      </c>
      <c r="W1434" s="5">
        <v>42594</v>
      </c>
      <c r="X1434" s="1">
        <v>11950000</v>
      </c>
      <c r="Y1434" s="1">
        <v>11950000</v>
      </c>
      <c r="Z1434" s="5">
        <v>42710</v>
      </c>
      <c r="AA1434" s="1">
        <v>11755500</v>
      </c>
      <c r="AB1434" s="1" t="s">
        <v>1103</v>
      </c>
      <c r="AC1434" s="5">
        <v>43300</v>
      </c>
      <c r="AF1434" s="1">
        <v>10013</v>
      </c>
      <c r="AJ1434" s="1">
        <v>2018</v>
      </c>
      <c r="AK1434" s="1" t="s">
        <v>81</v>
      </c>
      <c r="AL1434" s="1">
        <v>46</v>
      </c>
    </row>
    <row r="1435" spans="1:38" x14ac:dyDescent="0.2">
      <c r="A1435" s="2" t="str">
        <f>HYPERLINK("https://www.compass.com/listing/70-vestry-street-unit-3b-manhattan-ny-10013/19929607037818113/","70 Vestry St, Unit 3B")</f>
        <v>70 Vestry St, Unit 3B</v>
      </c>
      <c r="B1435" s="2" t="str">
        <f t="shared" si="258"/>
        <v>70 Vestry St</v>
      </c>
      <c r="C1435" s="1" t="s">
        <v>40</v>
      </c>
      <c r="D1435" s="1" t="s">
        <v>41</v>
      </c>
      <c r="E1435" s="3">
        <v>10556500</v>
      </c>
      <c r="F1435" s="1">
        <v>3246.15621156211</v>
      </c>
      <c r="G1435" s="1">
        <v>7</v>
      </c>
      <c r="H1435" s="1">
        <v>4</v>
      </c>
      <c r="I1435" s="1">
        <v>5</v>
      </c>
      <c r="J1435" s="1">
        <v>4.5</v>
      </c>
      <c r="K1435" s="1">
        <v>4</v>
      </c>
      <c r="L1435" s="1">
        <v>1</v>
      </c>
      <c r="M1435" s="4">
        <v>3252</v>
      </c>
      <c r="N1435" s="1">
        <v>5476</v>
      </c>
      <c r="O1435" s="1">
        <v>11316</v>
      </c>
      <c r="P1435" s="1">
        <v>5840</v>
      </c>
      <c r="Q1435" s="1" t="s">
        <v>42</v>
      </c>
      <c r="S1435" s="1" t="s">
        <v>42</v>
      </c>
      <c r="T1435" s="1" t="s">
        <v>203</v>
      </c>
      <c r="U1435" s="1">
        <v>200</v>
      </c>
      <c r="V1435" s="5">
        <v>43659</v>
      </c>
      <c r="W1435" s="5">
        <v>42594</v>
      </c>
      <c r="X1435" s="1">
        <v>10550000</v>
      </c>
      <c r="Y1435" s="1">
        <v>10550000</v>
      </c>
      <c r="AA1435" s="1">
        <v>10556500</v>
      </c>
      <c r="AB1435" s="1" t="s">
        <v>204</v>
      </c>
      <c r="AC1435" s="5">
        <v>43306</v>
      </c>
      <c r="AF1435" s="1">
        <v>10013</v>
      </c>
      <c r="AJ1435" s="1">
        <v>2018</v>
      </c>
      <c r="AK1435" s="1" t="s">
        <v>81</v>
      </c>
      <c r="AL1435" s="1">
        <v>46</v>
      </c>
    </row>
    <row r="1436" spans="1:38" x14ac:dyDescent="0.2">
      <c r="A1436" s="2" t="str">
        <f>HYPERLINK("https://www.compass.com/listing/70-vestry-street-unit-3a-manhattan-ny-10013/19929608262555761/","70 Vestry St, Unit 3A")</f>
        <v>70 Vestry St, Unit 3A</v>
      </c>
      <c r="B1436" s="2" t="str">
        <f t="shared" si="258"/>
        <v>70 Vestry St</v>
      </c>
      <c r="C1436" s="1" t="s">
        <v>40</v>
      </c>
      <c r="D1436" s="1" t="s">
        <v>41</v>
      </c>
      <c r="E1436" s="3">
        <v>7954500</v>
      </c>
      <c r="F1436" s="1">
        <v>2789.0953716690001</v>
      </c>
      <c r="G1436" s="1">
        <v>6</v>
      </c>
      <c r="H1436" s="1">
        <v>4</v>
      </c>
      <c r="I1436" s="1">
        <v>4</v>
      </c>
      <c r="J1436" s="1">
        <v>4.5</v>
      </c>
      <c r="K1436" s="1">
        <v>4</v>
      </c>
      <c r="L1436" s="1">
        <v>1</v>
      </c>
      <c r="M1436" s="4">
        <v>2852</v>
      </c>
      <c r="N1436" s="1">
        <v>4804</v>
      </c>
      <c r="O1436" s="1">
        <v>9927</v>
      </c>
      <c r="P1436" s="1">
        <v>5123</v>
      </c>
      <c r="Q1436" s="1" t="s">
        <v>42</v>
      </c>
      <c r="S1436" s="1" t="s">
        <v>42</v>
      </c>
      <c r="T1436" s="1" t="s">
        <v>203</v>
      </c>
      <c r="U1436" s="1">
        <v>225</v>
      </c>
      <c r="V1436" s="5">
        <v>43806</v>
      </c>
      <c r="W1436" s="5">
        <v>42594</v>
      </c>
      <c r="X1436" s="1">
        <v>7950000</v>
      </c>
      <c r="Y1436" s="1">
        <v>7950000</v>
      </c>
      <c r="Z1436" s="5">
        <v>42819</v>
      </c>
      <c r="AA1436" s="1">
        <v>7954500</v>
      </c>
      <c r="AB1436" s="1" t="s">
        <v>1104</v>
      </c>
      <c r="AC1436" s="5">
        <v>43306</v>
      </c>
      <c r="AF1436" s="1">
        <v>10013</v>
      </c>
      <c r="AJ1436" s="1">
        <v>2018</v>
      </c>
      <c r="AK1436" s="1" t="s">
        <v>81</v>
      </c>
      <c r="AL1436" s="1">
        <v>46</v>
      </c>
    </row>
    <row r="1437" spans="1:38" x14ac:dyDescent="0.2">
      <c r="A1437" s="2" t="str">
        <f>HYPERLINK("https://www.compass.com/listing/91-leonard-street-unit-17b-manhattan-ny-10013/841570468549157249/","91 Leonard St, Unit 17B")</f>
        <v>91 Leonard St, Unit 17B</v>
      </c>
      <c r="B1437" s="2" t="str">
        <f t="shared" ref="B1437:B1438" si="259">HYPERLINK("https://www.compass.com/building/91-leonard-manhattan-ny/282058661633754165/","91 Leonard")</f>
        <v>91 Leonard</v>
      </c>
      <c r="C1437" s="1" t="s">
        <v>40</v>
      </c>
      <c r="D1437" s="1" t="s">
        <v>41</v>
      </c>
      <c r="E1437" s="3">
        <v>3690000</v>
      </c>
      <c r="H1437" s="1">
        <v>2</v>
      </c>
      <c r="J1437" s="1">
        <v>2.5</v>
      </c>
      <c r="N1437" s="1">
        <v>1955</v>
      </c>
      <c r="O1437" s="1">
        <v>4941</v>
      </c>
      <c r="P1437" s="1">
        <v>2986</v>
      </c>
      <c r="S1437" s="1" t="s">
        <v>42</v>
      </c>
      <c r="T1437" s="1" t="s">
        <v>203</v>
      </c>
      <c r="U1437" s="1">
        <v>800</v>
      </c>
      <c r="V1437" s="5">
        <v>44415</v>
      </c>
      <c r="W1437" s="5">
        <v>43314</v>
      </c>
      <c r="X1437" s="1">
        <v>3690000</v>
      </c>
      <c r="Y1437" s="1">
        <v>3690000</v>
      </c>
      <c r="Z1437" s="5">
        <v>43314</v>
      </c>
      <c r="AA1437" s="1">
        <v>3690000</v>
      </c>
      <c r="AB1437" s="1" t="s">
        <v>204</v>
      </c>
      <c r="AC1437" s="5">
        <v>44208</v>
      </c>
      <c r="AF1437" s="1">
        <v>10013</v>
      </c>
      <c r="AI1437" s="1" t="s">
        <v>45</v>
      </c>
      <c r="AJ1437" s="1">
        <v>2016</v>
      </c>
      <c r="AK1437" s="1" t="s">
        <v>46</v>
      </c>
      <c r="AL1437" s="1">
        <v>111</v>
      </c>
    </row>
    <row r="1438" spans="1:38" x14ac:dyDescent="0.2">
      <c r="A1438" s="2" t="str">
        <f>HYPERLINK("https://www.compass.com/listing/91-leonard-street-unit-4a-manhattan-ny-10013/493379437356823625/","91 Leonard St, Unit 4A")</f>
        <v>91 Leonard St, Unit 4A</v>
      </c>
      <c r="B1438" s="2" t="str">
        <f t="shared" si="259"/>
        <v>91 Leonard</v>
      </c>
      <c r="C1438" s="1" t="s">
        <v>40</v>
      </c>
      <c r="D1438" s="1" t="s">
        <v>41</v>
      </c>
      <c r="E1438" s="3">
        <v>2400000</v>
      </c>
      <c r="F1438" s="1">
        <v>1618.34120026972</v>
      </c>
      <c r="G1438" s="1">
        <v>5.5</v>
      </c>
      <c r="H1438" s="1">
        <v>2</v>
      </c>
      <c r="I1438" s="1">
        <v>3</v>
      </c>
      <c r="J1438" s="1">
        <v>2.5</v>
      </c>
      <c r="K1438" s="1">
        <v>2</v>
      </c>
      <c r="L1438" s="1">
        <v>1</v>
      </c>
      <c r="M1438" s="4">
        <v>1483</v>
      </c>
      <c r="N1438" s="1">
        <v>1809</v>
      </c>
      <c r="O1438" s="1">
        <v>3616</v>
      </c>
      <c r="P1438" s="1">
        <v>1807</v>
      </c>
      <c r="Q1438" s="1" t="s">
        <v>42</v>
      </c>
      <c r="S1438" s="1" t="s">
        <v>42</v>
      </c>
      <c r="T1438" s="1" t="s">
        <v>203</v>
      </c>
      <c r="U1438" s="1">
        <v>55</v>
      </c>
      <c r="V1438" s="5">
        <v>44078</v>
      </c>
      <c r="W1438" s="5">
        <v>43931</v>
      </c>
      <c r="X1438" s="1">
        <v>2630000</v>
      </c>
      <c r="Y1438" s="1">
        <v>2630000</v>
      </c>
      <c r="Z1438" s="5">
        <v>44070</v>
      </c>
      <c r="AA1438" s="1">
        <v>2400000</v>
      </c>
      <c r="AB1438" s="1" t="s">
        <v>1105</v>
      </c>
      <c r="AC1438" s="5">
        <v>44074</v>
      </c>
      <c r="AF1438" s="1">
        <v>10013</v>
      </c>
      <c r="AI1438" s="1" t="s">
        <v>52</v>
      </c>
      <c r="AJ1438" s="1">
        <v>2016</v>
      </c>
      <c r="AK1438" s="1" t="s">
        <v>81</v>
      </c>
      <c r="AL1438" s="1">
        <v>111</v>
      </c>
    </row>
    <row r="1439" spans="1:38" x14ac:dyDescent="0.2">
      <c r="A1439" s="2" t="str">
        <f>HYPERLINK("https://www.compass.com/listing/70-vestry-street-unit-phs-manhattan-ny-10013/19929608782651265/","70 Vestry St, Unit PHS")</f>
        <v>70 Vestry St, Unit PHS</v>
      </c>
      <c r="B1439" s="2" t="str">
        <f>HYPERLINK("https://www.compass.com/building/70-vestry-st-manhattan-ny-10013/281921126949489413/","70 Vestry St")</f>
        <v>70 Vestry St</v>
      </c>
      <c r="C1439" s="1" t="s">
        <v>40</v>
      </c>
      <c r="D1439" s="1" t="s">
        <v>41</v>
      </c>
      <c r="E1439" s="3">
        <v>56010250</v>
      </c>
      <c r="F1439" s="1">
        <v>7173.4439036885196</v>
      </c>
      <c r="G1439" s="1">
        <v>12</v>
      </c>
      <c r="H1439" s="1">
        <v>5</v>
      </c>
      <c r="I1439" s="1">
        <v>7</v>
      </c>
      <c r="J1439" s="1">
        <v>6.5</v>
      </c>
      <c r="K1439" s="1">
        <v>6</v>
      </c>
      <c r="L1439" s="1">
        <v>1</v>
      </c>
      <c r="M1439" s="4">
        <v>7808</v>
      </c>
      <c r="N1439" s="1">
        <v>14717</v>
      </c>
      <c r="O1439" s="1">
        <v>30412</v>
      </c>
      <c r="P1439" s="1">
        <v>15695</v>
      </c>
      <c r="Q1439" s="1" t="s">
        <v>42</v>
      </c>
      <c r="S1439" s="1" t="s">
        <v>42</v>
      </c>
      <c r="T1439" s="1" t="s">
        <v>203</v>
      </c>
      <c r="U1439" s="1">
        <v>147</v>
      </c>
      <c r="V1439" s="5">
        <v>43648</v>
      </c>
      <c r="W1439" s="5">
        <v>42796</v>
      </c>
      <c r="X1439" s="1">
        <v>65000000</v>
      </c>
      <c r="Y1439" s="1">
        <v>65000000</v>
      </c>
      <c r="Z1439" s="5">
        <v>42943</v>
      </c>
      <c r="AA1439" s="1">
        <v>56010250</v>
      </c>
      <c r="AB1439" s="1" t="s">
        <v>1106</v>
      </c>
      <c r="AC1439" s="5">
        <v>43444</v>
      </c>
      <c r="AF1439" s="1">
        <v>10013</v>
      </c>
      <c r="AI1439" s="1" t="s">
        <v>147</v>
      </c>
      <c r="AJ1439" s="1">
        <v>2018</v>
      </c>
      <c r="AK1439" s="1" t="s">
        <v>81</v>
      </c>
      <c r="AL1439" s="1">
        <v>46</v>
      </c>
    </row>
    <row r="1440" spans="1:38" x14ac:dyDescent="0.2">
      <c r="A1440" s="2" t="str">
        <f>HYPERLINK("https://www.compass.com/listing/91-leonard-street-unit-4f-manhattan-ny-10013/841570580738405481/","91 Leonard St, Unit 4F")</f>
        <v>91 Leonard St, Unit 4F</v>
      </c>
      <c r="B1440" s="2" t="str">
        <f>HYPERLINK("https://www.compass.com/building/91-leonard-manhattan-ny/282058661633754165/","91 Leonard")</f>
        <v>91 Leonard</v>
      </c>
      <c r="C1440" s="1" t="s">
        <v>40</v>
      </c>
      <c r="D1440" s="1" t="s">
        <v>41</v>
      </c>
      <c r="E1440" s="3">
        <v>1200000</v>
      </c>
      <c r="F1440" s="1">
        <v>1726.6187050359699</v>
      </c>
      <c r="G1440" s="1">
        <v>2</v>
      </c>
      <c r="H1440" s="1">
        <v>1</v>
      </c>
      <c r="J1440" s="1">
        <v>1</v>
      </c>
      <c r="K1440" s="1">
        <v>1</v>
      </c>
      <c r="M1440" s="1">
        <v>695</v>
      </c>
      <c r="N1440" s="1">
        <v>810</v>
      </c>
      <c r="O1440" s="1">
        <v>2047</v>
      </c>
      <c r="P1440" s="1">
        <v>1237</v>
      </c>
      <c r="S1440" s="1" t="s">
        <v>42</v>
      </c>
      <c r="T1440" s="1" t="s">
        <v>203</v>
      </c>
      <c r="V1440" s="5">
        <v>44415</v>
      </c>
      <c r="W1440" s="5">
        <v>43314</v>
      </c>
      <c r="X1440" s="1">
        <v>1200000</v>
      </c>
      <c r="Y1440" s="1">
        <v>1200000</v>
      </c>
      <c r="Z1440" s="5">
        <v>43314</v>
      </c>
      <c r="AA1440" s="1">
        <v>1200000</v>
      </c>
      <c r="AB1440" s="1" t="s">
        <v>204</v>
      </c>
      <c r="AC1440" s="5">
        <v>44209</v>
      </c>
      <c r="AF1440" s="1">
        <v>10013</v>
      </c>
      <c r="AI1440" s="1" t="s">
        <v>45</v>
      </c>
      <c r="AJ1440" s="1">
        <v>2016</v>
      </c>
      <c r="AK1440" s="1" t="s">
        <v>46</v>
      </c>
      <c r="AL1440" s="1">
        <v>111</v>
      </c>
    </row>
    <row r="1441" spans="1:38" x14ac:dyDescent="0.2">
      <c r="A1441" s="2" t="str">
        <f>HYPERLINK("https://www.compass.com/listing/70-vestry-street-unit-4c-manhattan-ny-10013/20164052114214513/","70 Vestry St, Unit 4C")</f>
        <v>70 Vestry St, Unit 4C</v>
      </c>
      <c r="B1441" s="2" t="str">
        <f>HYPERLINK("https://www.compass.com/building/70-vestry-st-manhattan-ny-10013/281921126949489413/","70 Vestry St")</f>
        <v>70 Vestry St</v>
      </c>
      <c r="C1441" s="1" t="s">
        <v>40</v>
      </c>
      <c r="D1441" s="1" t="s">
        <v>41</v>
      </c>
      <c r="E1441" s="3">
        <v>7630000</v>
      </c>
      <c r="F1441" s="1">
        <v>4003.14795383001</v>
      </c>
      <c r="G1441" s="1">
        <v>4</v>
      </c>
      <c r="H1441" s="1">
        <v>2</v>
      </c>
      <c r="I1441" s="1">
        <v>2</v>
      </c>
      <c r="J1441" s="1">
        <v>2.5</v>
      </c>
      <c r="K1441" s="1">
        <v>2</v>
      </c>
      <c r="L1441" s="1">
        <v>1</v>
      </c>
      <c r="M1441" s="4">
        <v>1906</v>
      </c>
      <c r="N1441" s="1">
        <v>3217</v>
      </c>
      <c r="O1441" s="1">
        <v>6648</v>
      </c>
      <c r="P1441" s="1">
        <v>3431</v>
      </c>
      <c r="Q1441" s="1" t="s">
        <v>42</v>
      </c>
      <c r="S1441" s="1" t="s">
        <v>42</v>
      </c>
      <c r="T1441" s="1" t="s">
        <v>203</v>
      </c>
      <c r="U1441" s="1">
        <v>414</v>
      </c>
      <c r="V1441" s="5">
        <v>43647</v>
      </c>
      <c r="W1441" s="5">
        <v>42594</v>
      </c>
      <c r="X1441" s="1">
        <v>8450000</v>
      </c>
      <c r="Y1441" s="1">
        <v>8450000</v>
      </c>
      <c r="Z1441" s="5">
        <v>43008</v>
      </c>
      <c r="AA1441" s="1">
        <v>7630000</v>
      </c>
      <c r="AB1441" s="1" t="s">
        <v>1107</v>
      </c>
      <c r="AC1441" s="5">
        <v>43263</v>
      </c>
      <c r="AF1441" s="1">
        <v>10013</v>
      </c>
      <c r="AJ1441" s="1">
        <v>2018</v>
      </c>
      <c r="AK1441" s="1" t="s">
        <v>81</v>
      </c>
      <c r="AL1441" s="1">
        <v>46</v>
      </c>
    </row>
    <row r="1442" spans="1:38" x14ac:dyDescent="0.2">
      <c r="A1442" s="2" t="str">
        <f>HYPERLINK("https://www.compass.com/listing/555-west-end-avenue-unit-3e-manhattan-ny-10024/384011928515969265/","555 W End Ave, Unit 3E")</f>
        <v>555 W End Ave, Unit 3E</v>
      </c>
      <c r="B1442" s="2" t="str">
        <f>HYPERLINK("https://www.compass.com/building/555-west-end-avenue-manhattan-ny/292874438096018885/","555 West End Avenue")</f>
        <v>555 West End Avenue</v>
      </c>
      <c r="C1442" s="1" t="s">
        <v>47</v>
      </c>
      <c r="D1442" s="1" t="s">
        <v>41</v>
      </c>
      <c r="E1442" s="3">
        <v>9750000</v>
      </c>
      <c r="F1442" s="1">
        <v>2806.56303972366</v>
      </c>
      <c r="G1442" s="1">
        <v>7</v>
      </c>
      <c r="H1442" s="1">
        <v>5</v>
      </c>
      <c r="I1442" s="1">
        <v>5</v>
      </c>
      <c r="J1442" s="1">
        <v>4.5</v>
      </c>
      <c r="K1442" s="1">
        <v>4</v>
      </c>
      <c r="L1442" s="1">
        <v>1</v>
      </c>
      <c r="M1442" s="4">
        <v>3474</v>
      </c>
      <c r="N1442" s="1">
        <v>4779</v>
      </c>
      <c r="O1442" s="1">
        <v>9082</v>
      </c>
      <c r="P1442" s="1">
        <v>4303</v>
      </c>
      <c r="Q1442" s="1" t="s">
        <v>42</v>
      </c>
      <c r="S1442" s="1" t="s">
        <v>42</v>
      </c>
      <c r="T1442" s="1" t="s">
        <v>203</v>
      </c>
      <c r="U1442" s="1">
        <v>30</v>
      </c>
      <c r="V1442" s="5">
        <v>44343</v>
      </c>
      <c r="W1442" s="5">
        <v>43782</v>
      </c>
      <c r="X1442" s="1">
        <v>9900000</v>
      </c>
      <c r="Y1442" s="1">
        <v>9900000</v>
      </c>
      <c r="Z1442" s="5">
        <v>43812</v>
      </c>
      <c r="AA1442" s="1">
        <v>9750000</v>
      </c>
      <c r="AB1442" s="1" t="s">
        <v>244</v>
      </c>
      <c r="AC1442" s="5">
        <v>43825</v>
      </c>
      <c r="AF1442" s="1">
        <v>10024</v>
      </c>
      <c r="AJ1442" s="1">
        <v>2019</v>
      </c>
      <c r="AK1442" s="1" t="s">
        <v>87</v>
      </c>
      <c r="AL1442" s="1">
        <v>13</v>
      </c>
    </row>
    <row r="1443" spans="1:38" x14ac:dyDescent="0.2">
      <c r="A1443" s="2" t="str">
        <f>HYPERLINK("https://www.compass.com/listing/91-leonard-street-unit-15a-manhattan-ny-10013/243431930358479057/","91 Leonard St, Unit 15A")</f>
        <v>91 Leonard St, Unit 15A</v>
      </c>
      <c r="B1443" s="2" t="str">
        <f>HYPERLINK("https://www.compass.com/building/91-leonard-manhattan-ny/282058661633754165/","91 Leonard")</f>
        <v>91 Leonard</v>
      </c>
      <c r="C1443" s="1" t="s">
        <v>40</v>
      </c>
      <c r="D1443" s="1" t="s">
        <v>41</v>
      </c>
      <c r="E1443" s="3">
        <v>4150000</v>
      </c>
      <c r="F1443" s="1">
        <v>2275.2192982456099</v>
      </c>
      <c r="G1443" s="1">
        <v>5</v>
      </c>
      <c r="H1443" s="1">
        <v>3</v>
      </c>
      <c r="I1443" s="1">
        <v>3</v>
      </c>
      <c r="J1443" s="1">
        <v>3</v>
      </c>
      <c r="K1443" s="1">
        <v>3</v>
      </c>
      <c r="M1443" s="4">
        <v>1824</v>
      </c>
      <c r="N1443" s="1">
        <v>2248</v>
      </c>
      <c r="O1443" s="1">
        <v>5682</v>
      </c>
      <c r="P1443" s="1">
        <v>3434</v>
      </c>
      <c r="Q1443" s="1" t="s">
        <v>42</v>
      </c>
      <c r="S1443" s="1" t="s">
        <v>42</v>
      </c>
      <c r="T1443" s="1" t="s">
        <v>203</v>
      </c>
      <c r="U1443" s="1">
        <v>443</v>
      </c>
      <c r="V1443" s="5">
        <v>44314</v>
      </c>
      <c r="W1443" s="5">
        <v>43588</v>
      </c>
      <c r="X1443" s="1">
        <v>4450000</v>
      </c>
      <c r="Y1443" s="1">
        <v>4450000</v>
      </c>
      <c r="Z1443" s="5">
        <v>44125</v>
      </c>
      <c r="AA1443" s="1">
        <v>4150000</v>
      </c>
      <c r="AB1443" s="1" t="s">
        <v>1108</v>
      </c>
      <c r="AC1443" s="5">
        <v>44172</v>
      </c>
      <c r="AF1443" s="1">
        <v>10013</v>
      </c>
      <c r="AI1443" s="1" t="s">
        <v>103</v>
      </c>
      <c r="AJ1443" s="1">
        <v>2016</v>
      </c>
      <c r="AK1443" s="1" t="s">
        <v>81</v>
      </c>
      <c r="AL1443" s="1">
        <v>111</v>
      </c>
    </row>
    <row r="1444" spans="1:38" x14ac:dyDescent="0.2">
      <c r="A1444" s="2" t="str">
        <f>HYPERLINK("https://www.compass.com/listing/269-west-87th-street-unit-pha-manhattan-ny-10024/445636297181764985/","269 W 87th St, Unit PHA")</f>
        <v>269 W 87th St, Unit PHA</v>
      </c>
      <c r="B1444" s="2" t="str">
        <f>HYPERLINK("https://www.compass.com/building/west-end-and-eighty-seven-manhattan-ny/282058755477110005/","West End and Eighty Seven")</f>
        <v>West End and Eighty Seven</v>
      </c>
      <c r="C1444" s="1" t="s">
        <v>47</v>
      </c>
      <c r="D1444" s="1" t="s">
        <v>41</v>
      </c>
      <c r="E1444" s="3">
        <v>6000000</v>
      </c>
      <c r="F1444" s="1">
        <v>1463.77165162234</v>
      </c>
      <c r="G1444" s="1">
        <v>8</v>
      </c>
      <c r="H1444" s="1">
        <v>5</v>
      </c>
      <c r="I1444" s="1">
        <v>6</v>
      </c>
      <c r="J1444" s="1">
        <v>5.5</v>
      </c>
      <c r="K1444" s="1">
        <v>5</v>
      </c>
      <c r="L1444" s="1">
        <v>1</v>
      </c>
      <c r="M1444" s="4">
        <v>4099</v>
      </c>
      <c r="N1444" s="1">
        <v>1</v>
      </c>
      <c r="O1444" s="1">
        <v>2</v>
      </c>
      <c r="P1444" s="1">
        <v>1</v>
      </c>
      <c r="Q1444" s="1" t="s">
        <v>42</v>
      </c>
      <c r="S1444" s="1" t="s">
        <v>353</v>
      </c>
      <c r="T1444" s="1" t="s">
        <v>203</v>
      </c>
      <c r="U1444" s="1">
        <v>98</v>
      </c>
      <c r="V1444" s="5">
        <v>44100</v>
      </c>
      <c r="W1444" s="5">
        <v>43867</v>
      </c>
      <c r="X1444" s="1">
        <v>6000000</v>
      </c>
      <c r="Y1444" s="1">
        <v>6000000</v>
      </c>
      <c r="Z1444" s="5">
        <v>44068</v>
      </c>
      <c r="AA1444" s="1">
        <v>6000000</v>
      </c>
      <c r="AB1444" s="1" t="s">
        <v>204</v>
      </c>
      <c r="AC1444" s="5">
        <v>44099</v>
      </c>
      <c r="AF1444" s="1">
        <v>10024</v>
      </c>
      <c r="AI1444" s="1" t="s">
        <v>1109</v>
      </c>
      <c r="AJ1444" s="1">
        <v>2018</v>
      </c>
      <c r="AK1444" s="1" t="s">
        <v>81</v>
      </c>
      <c r="AL1444" s="1">
        <v>39</v>
      </c>
    </row>
    <row r="1445" spans="1:38" x14ac:dyDescent="0.2">
      <c r="A1445" s="2" t="str">
        <f>HYPERLINK("https://www.compass.com/listing/91-leonard-street-unit-4-manhattan-ny-10013/485095306072167625/","91 Leonard St, Unit 4")</f>
        <v>91 Leonard St, Unit 4</v>
      </c>
      <c r="B1445" s="2" t="str">
        <f t="shared" ref="B1445:B1448" si="260">HYPERLINK("https://www.compass.com/building/91-leonard-manhattan-ny/282058661633754165/","91 Leonard")</f>
        <v>91 Leonard</v>
      </c>
      <c r="C1445" s="1" t="s">
        <v>40</v>
      </c>
      <c r="D1445" s="1" t="s">
        <v>41</v>
      </c>
      <c r="E1445" s="3">
        <v>10490000</v>
      </c>
      <c r="F1445" s="1">
        <v>2972.5134599036501</v>
      </c>
      <c r="G1445" s="1">
        <v>9.5</v>
      </c>
      <c r="H1445" s="1">
        <v>4</v>
      </c>
      <c r="J1445" s="1">
        <v>4.5</v>
      </c>
      <c r="M1445" s="4">
        <v>3529</v>
      </c>
      <c r="N1445" s="1">
        <v>4758</v>
      </c>
      <c r="O1445" s="1">
        <v>12107</v>
      </c>
      <c r="P1445" s="1">
        <v>7349</v>
      </c>
      <c r="S1445" s="1" t="s">
        <v>42</v>
      </c>
      <c r="T1445" s="1" t="s">
        <v>203</v>
      </c>
      <c r="V1445" s="5">
        <v>44247</v>
      </c>
      <c r="W1445" s="5">
        <v>43921</v>
      </c>
      <c r="X1445" s="1">
        <v>10490000</v>
      </c>
      <c r="Y1445" s="1">
        <v>10490000</v>
      </c>
      <c r="Z1445" s="5">
        <v>43924</v>
      </c>
      <c r="AA1445" s="1">
        <v>10490000</v>
      </c>
      <c r="AB1445" s="1" t="s">
        <v>204</v>
      </c>
      <c r="AC1445" s="5">
        <v>44209</v>
      </c>
      <c r="AF1445" s="1">
        <v>10013</v>
      </c>
      <c r="AI1445" s="1" t="s">
        <v>78</v>
      </c>
      <c r="AJ1445" s="1">
        <v>2016</v>
      </c>
      <c r="AK1445" s="1" t="s">
        <v>121</v>
      </c>
      <c r="AL1445" s="1">
        <v>111</v>
      </c>
    </row>
    <row r="1446" spans="1:38" x14ac:dyDescent="0.2">
      <c r="A1446" s="2" t="str">
        <f>HYPERLINK("https://www.compass.com/listing/91-leonard-street-unit-4e-manhattan-ny-10013/841570494956692009/","91 Leonard St, Unit 4E")</f>
        <v>91 Leonard St, Unit 4E</v>
      </c>
      <c r="B1446" s="2" t="str">
        <f t="shared" si="260"/>
        <v>91 Leonard</v>
      </c>
      <c r="C1446" s="1" t="s">
        <v>40</v>
      </c>
      <c r="D1446" s="1" t="s">
        <v>41</v>
      </c>
      <c r="E1446" s="3">
        <v>1505177</v>
      </c>
      <c r="F1446" s="1">
        <v>1683.6431767337799</v>
      </c>
      <c r="G1446" s="1">
        <v>3</v>
      </c>
      <c r="H1446" s="1">
        <v>1</v>
      </c>
      <c r="J1446" s="1">
        <v>1</v>
      </c>
      <c r="K1446" s="1">
        <v>1</v>
      </c>
      <c r="L1446" s="1">
        <v>1</v>
      </c>
      <c r="M1446" s="1">
        <v>894</v>
      </c>
      <c r="N1446" s="1">
        <v>1057</v>
      </c>
      <c r="O1446" s="1">
        <v>2672</v>
      </c>
      <c r="P1446" s="1">
        <v>1615</v>
      </c>
      <c r="S1446" s="1" t="s">
        <v>42</v>
      </c>
      <c r="T1446" s="1" t="s">
        <v>203</v>
      </c>
      <c r="V1446" s="5">
        <v>44415</v>
      </c>
      <c r="W1446" s="5">
        <v>43314</v>
      </c>
      <c r="X1446" s="1">
        <v>1450000</v>
      </c>
      <c r="Y1446" s="1">
        <v>1505177</v>
      </c>
      <c r="Z1446" s="5">
        <v>43314</v>
      </c>
      <c r="AA1446" s="1">
        <v>1505177</v>
      </c>
      <c r="AB1446" s="1" t="s">
        <v>204</v>
      </c>
      <c r="AC1446" s="5">
        <v>44208</v>
      </c>
      <c r="AF1446" s="1">
        <v>10013</v>
      </c>
      <c r="AI1446" s="1" t="s">
        <v>45</v>
      </c>
      <c r="AJ1446" s="1">
        <v>2016</v>
      </c>
      <c r="AK1446" s="1" t="s">
        <v>46</v>
      </c>
      <c r="AL1446" s="1">
        <v>111</v>
      </c>
    </row>
    <row r="1447" spans="1:38" x14ac:dyDescent="0.2">
      <c r="A1447" s="2" t="str">
        <f>HYPERLINK("https://www.compass.com/listing/91-leonard-street-unit-16d-manhattan-ny-10013/841570495049006313/","91 Leonard St, Unit 16D")</f>
        <v>91 Leonard St, Unit 16D</v>
      </c>
      <c r="B1447" s="2" t="str">
        <f t="shared" si="260"/>
        <v>91 Leonard</v>
      </c>
      <c r="C1447" s="1" t="s">
        <v>40</v>
      </c>
      <c r="D1447" s="1" t="s">
        <v>41</v>
      </c>
      <c r="E1447" s="3">
        <v>1471778</v>
      </c>
      <c r="F1447" s="1">
        <v>2105.5479256080098</v>
      </c>
      <c r="G1447" s="1">
        <v>3</v>
      </c>
      <c r="H1447" s="1">
        <v>1</v>
      </c>
      <c r="J1447" s="1">
        <v>1</v>
      </c>
      <c r="K1447" s="1">
        <v>1</v>
      </c>
      <c r="M1447" s="1">
        <v>699</v>
      </c>
      <c r="N1447" s="1">
        <v>854</v>
      </c>
      <c r="O1447" s="1">
        <v>2159</v>
      </c>
      <c r="P1447" s="1">
        <v>1305</v>
      </c>
      <c r="S1447" s="1" t="s">
        <v>42</v>
      </c>
      <c r="T1447" s="1" t="s">
        <v>203</v>
      </c>
      <c r="V1447" s="5">
        <v>44415</v>
      </c>
      <c r="W1447" s="5">
        <v>43314</v>
      </c>
      <c r="X1447" s="1">
        <v>1535000</v>
      </c>
      <c r="Y1447" s="1">
        <v>1471778</v>
      </c>
      <c r="Z1447" s="5">
        <v>43314</v>
      </c>
      <c r="AA1447" s="1">
        <v>1471778</v>
      </c>
      <c r="AB1447" s="1" t="s">
        <v>204</v>
      </c>
      <c r="AC1447" s="5">
        <v>44208</v>
      </c>
      <c r="AF1447" s="1">
        <v>10013</v>
      </c>
      <c r="AI1447" s="1" t="s">
        <v>45</v>
      </c>
      <c r="AJ1447" s="1">
        <v>2016</v>
      </c>
      <c r="AK1447" s="1" t="s">
        <v>46</v>
      </c>
      <c r="AL1447" s="1">
        <v>111</v>
      </c>
    </row>
    <row r="1448" spans="1:38" x14ac:dyDescent="0.2">
      <c r="A1448" s="2" t="str">
        <f>HYPERLINK("https://www.compass.com/listing/91-leonard-street-unit-ph2-manhattan-ny-10013/34689500764462369/","91 Leonard St, Unit PH2")</f>
        <v>91 Leonard St, Unit PH2</v>
      </c>
      <c r="B1448" s="2" t="str">
        <f t="shared" si="260"/>
        <v>91 Leonard</v>
      </c>
      <c r="C1448" s="1" t="s">
        <v>40</v>
      </c>
      <c r="D1448" s="1" t="s">
        <v>41</v>
      </c>
      <c r="E1448" s="3">
        <v>8449973</v>
      </c>
      <c r="F1448" s="1">
        <v>2743.4976136363598</v>
      </c>
      <c r="G1448" s="1">
        <v>9</v>
      </c>
      <c r="H1448" s="1">
        <v>4</v>
      </c>
      <c r="I1448" s="1">
        <v>5</v>
      </c>
      <c r="J1448" s="1">
        <v>4.5</v>
      </c>
      <c r="K1448" s="1">
        <v>4</v>
      </c>
      <c r="L1448" s="1">
        <v>1</v>
      </c>
      <c r="M1448" s="4">
        <v>3080</v>
      </c>
      <c r="N1448" s="1">
        <v>4263</v>
      </c>
      <c r="O1448" s="1">
        <v>10773</v>
      </c>
      <c r="P1448" s="1">
        <v>6510</v>
      </c>
      <c r="Q1448" s="1" t="s">
        <v>42</v>
      </c>
      <c r="S1448" s="1" t="s">
        <v>42</v>
      </c>
      <c r="T1448" s="1" t="s">
        <v>203</v>
      </c>
      <c r="U1448" s="1">
        <v>846</v>
      </c>
      <c r="V1448" s="5">
        <v>44314</v>
      </c>
      <c r="W1448" s="5">
        <v>43031</v>
      </c>
      <c r="X1448" s="1">
        <v>8990000</v>
      </c>
      <c r="Y1448" s="1">
        <v>8990000</v>
      </c>
      <c r="Z1448" s="5">
        <v>43878</v>
      </c>
      <c r="AA1448" s="1">
        <v>8449972.6500000004</v>
      </c>
      <c r="AB1448" s="1" t="s">
        <v>1110</v>
      </c>
      <c r="AC1448" s="5">
        <v>43999</v>
      </c>
      <c r="AF1448" s="1">
        <v>10013</v>
      </c>
      <c r="AI1448" s="1" t="s">
        <v>123</v>
      </c>
      <c r="AJ1448" s="1">
        <v>2016</v>
      </c>
      <c r="AK1448" s="1" t="s">
        <v>81</v>
      </c>
      <c r="AL1448" s="1">
        <v>111</v>
      </c>
    </row>
    <row r="1449" spans="1:38" x14ac:dyDescent="0.2">
      <c r="A1449" s="2" t="str">
        <f>HYPERLINK("https://www.compass.com/listing/70-vestry-street-unit-10s-manhattan-ny-10013/19929607885100705/","70 Vestry St, Unit 10S")</f>
        <v>70 Vestry St, Unit 10S</v>
      </c>
      <c r="B1449" s="2" t="str">
        <f t="shared" ref="B1449:B1450" si="261">HYPERLINK("https://www.compass.com/building/70-vestry-st-manhattan-ny-10013/281921126949489413/","70 Vestry St")</f>
        <v>70 Vestry St</v>
      </c>
      <c r="C1449" s="1" t="s">
        <v>40</v>
      </c>
      <c r="D1449" s="1" t="s">
        <v>41</v>
      </c>
      <c r="E1449" s="3">
        <v>18805000</v>
      </c>
      <c r="F1449" s="1">
        <v>4556.5786285437298</v>
      </c>
      <c r="G1449" s="1">
        <v>8</v>
      </c>
      <c r="H1449" s="1">
        <v>5</v>
      </c>
      <c r="I1449" s="1">
        <v>6</v>
      </c>
      <c r="J1449" s="1">
        <v>5.5</v>
      </c>
      <c r="K1449" s="1">
        <v>5</v>
      </c>
      <c r="L1449" s="1">
        <v>1</v>
      </c>
      <c r="M1449" s="4">
        <v>4127</v>
      </c>
      <c r="N1449" s="1">
        <v>7068</v>
      </c>
      <c r="O1449" s="1">
        <v>14606</v>
      </c>
      <c r="P1449" s="1">
        <v>7538</v>
      </c>
      <c r="Q1449" s="1" t="s">
        <v>42</v>
      </c>
      <c r="S1449" s="1" t="s">
        <v>42</v>
      </c>
      <c r="T1449" s="1" t="s">
        <v>203</v>
      </c>
      <c r="U1449" s="1">
        <v>53</v>
      </c>
      <c r="V1449" s="5">
        <v>43806</v>
      </c>
      <c r="W1449" s="5">
        <v>42742</v>
      </c>
      <c r="X1449" s="1">
        <v>20000000</v>
      </c>
      <c r="Y1449" s="1">
        <v>20000000</v>
      </c>
      <c r="Z1449" s="5">
        <v>42795</v>
      </c>
      <c r="AA1449" s="1">
        <v>18805000</v>
      </c>
      <c r="AB1449" s="1" t="s">
        <v>1111</v>
      </c>
      <c r="AC1449" s="5">
        <v>43375</v>
      </c>
      <c r="AF1449" s="1">
        <v>10013</v>
      </c>
      <c r="AI1449" s="1" t="s">
        <v>193</v>
      </c>
      <c r="AJ1449" s="1">
        <v>2018</v>
      </c>
      <c r="AK1449" s="1" t="s">
        <v>81</v>
      </c>
      <c r="AL1449" s="1">
        <v>46</v>
      </c>
    </row>
    <row r="1450" spans="1:38" x14ac:dyDescent="0.2">
      <c r="A1450" s="2" t="str">
        <f>HYPERLINK("https://www.compass.com/listing/70-vestry-street-unit-12n-manhattan-ny-10013/21054489104495073/","70 Vestry St, Unit 12N")</f>
        <v>70 Vestry St, Unit 12N</v>
      </c>
      <c r="B1450" s="2" t="str">
        <f t="shared" si="261"/>
        <v>70 Vestry St</v>
      </c>
      <c r="C1450" s="1" t="s">
        <v>40</v>
      </c>
      <c r="D1450" s="1" t="s">
        <v>41</v>
      </c>
      <c r="E1450" s="3">
        <v>25462250</v>
      </c>
      <c r="F1450" s="1">
        <v>5479.2877125026898</v>
      </c>
      <c r="G1450" s="1">
        <v>9</v>
      </c>
      <c r="H1450" s="1">
        <v>5</v>
      </c>
      <c r="I1450" s="1">
        <v>6</v>
      </c>
      <c r="J1450" s="1">
        <v>5.5</v>
      </c>
      <c r="K1450" s="1">
        <v>5</v>
      </c>
      <c r="L1450" s="1">
        <v>1</v>
      </c>
      <c r="M1450" s="4">
        <v>4647</v>
      </c>
      <c r="N1450" s="1">
        <v>8646</v>
      </c>
      <c r="O1450" s="1">
        <v>17867</v>
      </c>
      <c r="P1450" s="1">
        <v>9221</v>
      </c>
      <c r="Q1450" s="1" t="s">
        <v>42</v>
      </c>
      <c r="S1450" s="1" t="s">
        <v>42</v>
      </c>
      <c r="T1450" s="1" t="s">
        <v>203</v>
      </c>
      <c r="U1450" s="1">
        <v>148</v>
      </c>
      <c r="V1450" s="5">
        <v>43806</v>
      </c>
      <c r="W1450" s="5">
        <v>42594</v>
      </c>
      <c r="X1450" s="1">
        <v>29500000</v>
      </c>
      <c r="Y1450" s="1">
        <v>29500000</v>
      </c>
      <c r="AA1450" s="1">
        <v>25462250</v>
      </c>
      <c r="AB1450" s="1" t="s">
        <v>1112</v>
      </c>
      <c r="AC1450" s="5">
        <v>43396</v>
      </c>
      <c r="AF1450" s="1">
        <v>10013</v>
      </c>
      <c r="AI1450" s="1" t="s">
        <v>93</v>
      </c>
      <c r="AJ1450" s="1">
        <v>2018</v>
      </c>
      <c r="AK1450" s="1" t="s">
        <v>81</v>
      </c>
      <c r="AL1450" s="1">
        <v>46</v>
      </c>
    </row>
    <row r="1451" spans="1:38" x14ac:dyDescent="0.2">
      <c r="A1451" s="2" t="str">
        <f>HYPERLINK("https://www.compass.com/listing/91-leonard-street-unit-13d-manhattan-ny-10013/34689470070617697/","91 Leonard St, Unit 13D")</f>
        <v>91 Leonard St, Unit 13D</v>
      </c>
      <c r="B1451" s="2" t="str">
        <f t="shared" ref="B1451:B1458" si="262">HYPERLINK("https://www.compass.com/building/91-leonard-manhattan-ny/282058661633754165/","91 Leonard")</f>
        <v>91 Leonard</v>
      </c>
      <c r="C1451" s="1" t="s">
        <v>40</v>
      </c>
      <c r="D1451" s="1" t="s">
        <v>41</v>
      </c>
      <c r="E1451" s="3">
        <v>997885</v>
      </c>
      <c r="F1451" s="1">
        <v>1945.1949317738699</v>
      </c>
      <c r="G1451" s="1">
        <v>2</v>
      </c>
      <c r="H1451" s="1" t="s">
        <v>77</v>
      </c>
      <c r="I1451" s="1">
        <v>1</v>
      </c>
      <c r="J1451" s="1">
        <v>1</v>
      </c>
      <c r="K1451" s="1">
        <v>1</v>
      </c>
      <c r="M1451" s="1">
        <v>513</v>
      </c>
      <c r="N1451" s="1">
        <v>608</v>
      </c>
      <c r="O1451" s="1">
        <v>1537</v>
      </c>
      <c r="P1451" s="1">
        <v>929</v>
      </c>
      <c r="Q1451" s="1" t="s">
        <v>42</v>
      </c>
      <c r="S1451" s="1" t="s">
        <v>42</v>
      </c>
      <c r="T1451" s="1" t="s">
        <v>203</v>
      </c>
      <c r="U1451" s="1">
        <v>134</v>
      </c>
      <c r="V1451" s="5">
        <v>44314</v>
      </c>
      <c r="W1451" s="5">
        <v>43165</v>
      </c>
      <c r="X1451" s="1">
        <v>985000</v>
      </c>
      <c r="Y1451" s="1">
        <v>985000</v>
      </c>
      <c r="Z1451" s="5">
        <v>43300</v>
      </c>
      <c r="AA1451" s="1">
        <v>997885</v>
      </c>
      <c r="AB1451" s="1" t="s">
        <v>1113</v>
      </c>
      <c r="AC1451" s="5">
        <v>43746</v>
      </c>
      <c r="AF1451" s="1">
        <v>10013</v>
      </c>
      <c r="AI1451" s="1" t="s">
        <v>103</v>
      </c>
      <c r="AJ1451" s="1">
        <v>2016</v>
      </c>
      <c r="AK1451" s="1" t="s">
        <v>81</v>
      </c>
      <c r="AL1451" s="1">
        <v>111</v>
      </c>
    </row>
    <row r="1452" spans="1:38" x14ac:dyDescent="0.2">
      <c r="A1452" s="2" t="str">
        <f>HYPERLINK("https://www.compass.com/listing/91-leonard-street-unit-15c-manhattan-ny-10013/34689486881417553/","91 Leonard St, Unit 15C")</f>
        <v>91 Leonard St, Unit 15C</v>
      </c>
      <c r="B1452" s="2" t="str">
        <f t="shared" si="262"/>
        <v>91 Leonard</v>
      </c>
      <c r="C1452" s="1" t="s">
        <v>40</v>
      </c>
      <c r="D1452" s="1" t="s">
        <v>41</v>
      </c>
      <c r="E1452" s="3">
        <v>919683</v>
      </c>
      <c r="F1452" s="1">
        <v>1924.02384937238</v>
      </c>
      <c r="G1452" s="1">
        <v>2</v>
      </c>
      <c r="H1452" s="1" t="s">
        <v>77</v>
      </c>
      <c r="I1452" s="1">
        <v>1</v>
      </c>
      <c r="J1452" s="1">
        <v>1</v>
      </c>
      <c r="K1452" s="1">
        <v>1</v>
      </c>
      <c r="M1452" s="1">
        <v>478</v>
      </c>
      <c r="N1452" s="1">
        <v>575</v>
      </c>
      <c r="O1452" s="1">
        <v>1453</v>
      </c>
      <c r="P1452" s="1">
        <v>878</v>
      </c>
      <c r="Q1452" s="1" t="s">
        <v>42</v>
      </c>
      <c r="S1452" s="1" t="s">
        <v>42</v>
      </c>
      <c r="T1452" s="1" t="s">
        <v>203</v>
      </c>
      <c r="U1452" s="1">
        <v>268</v>
      </c>
      <c r="V1452" s="5">
        <v>44314</v>
      </c>
      <c r="W1452" s="5">
        <v>43031</v>
      </c>
      <c r="X1452" s="1">
        <v>900000</v>
      </c>
      <c r="Y1452" s="1">
        <v>1005000</v>
      </c>
      <c r="Z1452" s="5">
        <v>43300</v>
      </c>
      <c r="AA1452" s="1">
        <v>919683.4</v>
      </c>
      <c r="AB1452" s="1" t="s">
        <v>1114</v>
      </c>
      <c r="AC1452" s="5">
        <v>43748</v>
      </c>
      <c r="AF1452" s="1">
        <v>10013</v>
      </c>
      <c r="AI1452" s="1" t="s">
        <v>103</v>
      </c>
      <c r="AJ1452" s="1">
        <v>2016</v>
      </c>
      <c r="AK1452" s="1" t="s">
        <v>81</v>
      </c>
      <c r="AL1452" s="1">
        <v>111</v>
      </c>
    </row>
    <row r="1453" spans="1:38" x14ac:dyDescent="0.2">
      <c r="A1453" s="2" t="str">
        <f>HYPERLINK("https://www.compass.com/listing/91-leonard-street-unit-11e-manhattan-ny-10013/34689491990050721/","91 Leonard St, Unit 11E")</f>
        <v>91 Leonard St, Unit 11E</v>
      </c>
      <c r="B1453" s="2" t="str">
        <f t="shared" si="262"/>
        <v>91 Leonard</v>
      </c>
      <c r="C1453" s="1" t="s">
        <v>40</v>
      </c>
      <c r="D1453" s="1" t="s">
        <v>41</v>
      </c>
      <c r="E1453" s="3">
        <v>1377897</v>
      </c>
      <c r="F1453" s="1">
        <v>1971.24048640915</v>
      </c>
      <c r="G1453" s="1">
        <v>2</v>
      </c>
      <c r="H1453" s="1" t="s">
        <v>77</v>
      </c>
      <c r="I1453" s="1">
        <v>1</v>
      </c>
      <c r="J1453" s="1">
        <v>1</v>
      </c>
      <c r="K1453" s="1">
        <v>1</v>
      </c>
      <c r="M1453" s="1">
        <v>699</v>
      </c>
      <c r="N1453" s="1">
        <v>834</v>
      </c>
      <c r="O1453" s="1">
        <v>2109</v>
      </c>
      <c r="P1453" s="1">
        <v>1275</v>
      </c>
      <c r="Q1453" s="1" t="s">
        <v>42</v>
      </c>
      <c r="S1453" s="1" t="s">
        <v>42</v>
      </c>
      <c r="T1453" s="1" t="s">
        <v>203</v>
      </c>
      <c r="U1453" s="1">
        <v>223</v>
      </c>
      <c r="V1453" s="5">
        <v>44314</v>
      </c>
      <c r="W1453" s="5">
        <v>43076</v>
      </c>
      <c r="X1453" s="1">
        <v>1400000</v>
      </c>
      <c r="Y1453" s="1">
        <v>1400000</v>
      </c>
      <c r="Z1453" s="5">
        <v>43300</v>
      </c>
      <c r="AA1453" s="1">
        <v>1377897.1</v>
      </c>
      <c r="AB1453" s="1" t="s">
        <v>1115</v>
      </c>
      <c r="AC1453" s="5">
        <v>43763</v>
      </c>
      <c r="AF1453" s="1">
        <v>10013</v>
      </c>
      <c r="AI1453" s="1" t="s">
        <v>103</v>
      </c>
      <c r="AJ1453" s="1">
        <v>2016</v>
      </c>
      <c r="AK1453" s="1" t="s">
        <v>81</v>
      </c>
      <c r="AL1453" s="1">
        <v>111</v>
      </c>
    </row>
    <row r="1454" spans="1:38" x14ac:dyDescent="0.2">
      <c r="A1454" s="2" t="str">
        <f>HYPERLINK("https://www.compass.com/listing/91-leonard-street-unit-10d-manhattan-ny-10013/34689492199765953/","91 Leonard St, Unit 10D")</f>
        <v>91 Leonard St, Unit 10D</v>
      </c>
      <c r="B1454" s="2" t="str">
        <f t="shared" si="262"/>
        <v>91 Leonard</v>
      </c>
      <c r="C1454" s="1" t="s">
        <v>40</v>
      </c>
      <c r="D1454" s="1" t="s">
        <v>41</v>
      </c>
      <c r="E1454" s="3">
        <v>955000</v>
      </c>
      <c r="F1454" s="1">
        <v>1861.5984405458</v>
      </c>
      <c r="G1454" s="1">
        <v>2</v>
      </c>
      <c r="H1454" s="1" t="s">
        <v>77</v>
      </c>
      <c r="I1454" s="1">
        <v>1</v>
      </c>
      <c r="J1454" s="1">
        <v>1</v>
      </c>
      <c r="K1454" s="1">
        <v>1</v>
      </c>
      <c r="M1454" s="1">
        <v>513</v>
      </c>
      <c r="N1454" s="1">
        <v>598</v>
      </c>
      <c r="O1454" s="1">
        <v>1512</v>
      </c>
      <c r="P1454" s="1">
        <v>914</v>
      </c>
      <c r="Q1454" s="1" t="s">
        <v>42</v>
      </c>
      <c r="S1454" s="1" t="s">
        <v>42</v>
      </c>
      <c r="T1454" s="1" t="s">
        <v>203</v>
      </c>
      <c r="V1454" s="5">
        <v>44314</v>
      </c>
      <c r="W1454" s="5">
        <v>43315</v>
      </c>
      <c r="X1454" s="1">
        <v>955000</v>
      </c>
      <c r="Y1454" s="1">
        <v>955000</v>
      </c>
      <c r="Z1454" s="5">
        <v>43315</v>
      </c>
      <c r="AA1454" s="1">
        <v>955000</v>
      </c>
      <c r="AB1454" s="1" t="s">
        <v>204</v>
      </c>
      <c r="AC1454" s="5">
        <v>43390</v>
      </c>
      <c r="AF1454" s="1">
        <v>10013</v>
      </c>
      <c r="AI1454" s="1" t="s">
        <v>52</v>
      </c>
      <c r="AJ1454" s="1">
        <v>2016</v>
      </c>
      <c r="AK1454" s="1" t="s">
        <v>121</v>
      </c>
      <c r="AL1454" s="1">
        <v>111</v>
      </c>
    </row>
    <row r="1455" spans="1:38" x14ac:dyDescent="0.2">
      <c r="A1455" s="2" t="str">
        <f>HYPERLINK("https://www.compass.com/listing/91-leonard-street-unit-14c-manhattan-ny-10013/34689501083229521/","91 Leonard St, Unit 14C")</f>
        <v>91 Leonard St, Unit 14C</v>
      </c>
      <c r="B1455" s="2" t="str">
        <f t="shared" si="262"/>
        <v>91 Leonard</v>
      </c>
      <c r="C1455" s="1" t="s">
        <v>40</v>
      </c>
      <c r="D1455" s="1" t="s">
        <v>41</v>
      </c>
      <c r="E1455" s="3">
        <v>996052</v>
      </c>
      <c r="F1455" s="1">
        <v>2083.7907949790701</v>
      </c>
      <c r="G1455" s="1">
        <v>2</v>
      </c>
      <c r="H1455" s="1" t="s">
        <v>77</v>
      </c>
      <c r="I1455" s="1">
        <v>1</v>
      </c>
      <c r="J1455" s="1">
        <v>1</v>
      </c>
      <c r="K1455" s="1">
        <v>1</v>
      </c>
      <c r="M1455" s="1">
        <v>478</v>
      </c>
      <c r="N1455" s="1">
        <v>575</v>
      </c>
      <c r="O1455" s="1">
        <v>1453</v>
      </c>
      <c r="P1455" s="1">
        <v>878</v>
      </c>
      <c r="Q1455" s="1" t="s">
        <v>42</v>
      </c>
      <c r="S1455" s="1" t="s">
        <v>42</v>
      </c>
      <c r="T1455" s="1" t="s">
        <v>203</v>
      </c>
      <c r="U1455" s="1">
        <v>554</v>
      </c>
      <c r="V1455" s="5">
        <v>44314</v>
      </c>
      <c r="W1455" s="5">
        <v>43111</v>
      </c>
      <c r="X1455" s="1">
        <v>975000</v>
      </c>
      <c r="Y1455" s="1">
        <v>995000</v>
      </c>
      <c r="Z1455" s="5">
        <v>43665</v>
      </c>
      <c r="AA1455" s="1">
        <v>996052</v>
      </c>
      <c r="AB1455" s="1" t="s">
        <v>1116</v>
      </c>
      <c r="AC1455" s="5">
        <v>43809</v>
      </c>
      <c r="AF1455" s="1">
        <v>10013</v>
      </c>
      <c r="AI1455" s="1" t="s">
        <v>998</v>
      </c>
      <c r="AJ1455" s="1">
        <v>2016</v>
      </c>
      <c r="AK1455" s="1" t="s">
        <v>81</v>
      </c>
      <c r="AL1455" s="1">
        <v>111</v>
      </c>
    </row>
    <row r="1456" spans="1:38" x14ac:dyDescent="0.2">
      <c r="A1456" s="2" t="str">
        <f>HYPERLINK("https://www.compass.com/listing/91-leonard-street-unit-16c-manhattan-ny-10013/34689537380838673/","91 Leonard St, Unit 16C")</f>
        <v>91 Leonard St, Unit 16C</v>
      </c>
      <c r="B1456" s="2" t="str">
        <f t="shared" si="262"/>
        <v>91 Leonard</v>
      </c>
      <c r="C1456" s="1" t="s">
        <v>40</v>
      </c>
      <c r="D1456" s="1" t="s">
        <v>41</v>
      </c>
      <c r="E1456" s="3">
        <v>1038615</v>
      </c>
      <c r="F1456" s="1">
        <v>2172.8347280334701</v>
      </c>
      <c r="G1456" s="1">
        <v>2</v>
      </c>
      <c r="H1456" s="1" t="s">
        <v>77</v>
      </c>
      <c r="I1456" s="1">
        <v>1</v>
      </c>
      <c r="J1456" s="1">
        <v>1</v>
      </c>
      <c r="K1456" s="1">
        <v>1</v>
      </c>
      <c r="M1456" s="1">
        <v>478</v>
      </c>
      <c r="N1456" s="1">
        <v>579</v>
      </c>
      <c r="O1456" s="1">
        <v>1464</v>
      </c>
      <c r="P1456" s="1">
        <v>885</v>
      </c>
      <c r="Q1456" s="1" t="s">
        <v>42</v>
      </c>
      <c r="S1456" s="1" t="s">
        <v>42</v>
      </c>
      <c r="T1456" s="1" t="s">
        <v>203</v>
      </c>
      <c r="U1456" s="1">
        <v>177</v>
      </c>
      <c r="V1456" s="5">
        <v>44314</v>
      </c>
      <c r="W1456" s="5">
        <v>43122</v>
      </c>
      <c r="X1456" s="1">
        <v>1015000</v>
      </c>
      <c r="Y1456" s="1">
        <v>1015000</v>
      </c>
      <c r="Z1456" s="5">
        <v>43300</v>
      </c>
      <c r="AA1456" s="1">
        <v>1038615</v>
      </c>
      <c r="AB1456" s="1" t="s">
        <v>1117</v>
      </c>
      <c r="AC1456" s="5">
        <v>43691</v>
      </c>
      <c r="AF1456" s="1">
        <v>10013</v>
      </c>
      <c r="AI1456" s="1" t="s">
        <v>103</v>
      </c>
      <c r="AJ1456" s="1">
        <v>2016</v>
      </c>
      <c r="AK1456" s="1" t="s">
        <v>81</v>
      </c>
      <c r="AL1456" s="1">
        <v>111</v>
      </c>
    </row>
    <row r="1457" spans="1:38" x14ac:dyDescent="0.2">
      <c r="A1457" s="2" t="str">
        <f>HYPERLINK("https://www.compass.com/listing/91-leonard-street-unit-10d-manhattan-ny-10013/384629882647613953/","91 Leonard St, Unit 10D")</f>
        <v>91 Leonard St, Unit 10D</v>
      </c>
      <c r="B1457" s="2" t="str">
        <f t="shared" si="262"/>
        <v>91 Leonard</v>
      </c>
      <c r="C1457" s="1" t="s">
        <v>40</v>
      </c>
      <c r="D1457" s="1" t="s">
        <v>41</v>
      </c>
      <c r="E1457" s="3">
        <v>955000</v>
      </c>
      <c r="F1457" s="1">
        <v>1861.5984405458</v>
      </c>
      <c r="G1457" s="1">
        <v>2</v>
      </c>
      <c r="H1457" s="1" t="s">
        <v>77</v>
      </c>
      <c r="I1457" s="1">
        <v>1</v>
      </c>
      <c r="J1457" s="1">
        <v>1</v>
      </c>
      <c r="K1457" s="1">
        <v>1</v>
      </c>
      <c r="M1457" s="1">
        <v>513</v>
      </c>
      <c r="N1457" s="1">
        <v>598</v>
      </c>
      <c r="O1457" s="1">
        <v>1512</v>
      </c>
      <c r="P1457" s="1">
        <v>914</v>
      </c>
      <c r="S1457" s="1" t="s">
        <v>42</v>
      </c>
      <c r="T1457" s="1" t="s">
        <v>203</v>
      </c>
      <c r="U1457" s="1">
        <v>18</v>
      </c>
      <c r="V1457" s="5">
        <v>43784</v>
      </c>
      <c r="W1457" s="5">
        <v>43764</v>
      </c>
      <c r="X1457" s="1">
        <v>955000</v>
      </c>
      <c r="Y1457" s="1">
        <v>955000</v>
      </c>
      <c r="AA1457" s="1">
        <v>955000</v>
      </c>
      <c r="AB1457" s="1" t="s">
        <v>204</v>
      </c>
      <c r="AC1457" s="5">
        <v>43782</v>
      </c>
      <c r="AF1457" s="1">
        <v>10013</v>
      </c>
      <c r="AI1457" s="1" t="s">
        <v>45</v>
      </c>
      <c r="AJ1457" s="1">
        <v>2016</v>
      </c>
      <c r="AK1457" s="1" t="s">
        <v>121</v>
      </c>
      <c r="AL1457" s="1">
        <v>111</v>
      </c>
    </row>
    <row r="1458" spans="1:38" x14ac:dyDescent="0.2">
      <c r="A1458" s="2" t="str">
        <f>HYPERLINK("https://www.compass.com/listing/91-leonard-street-unit-10c-manhattan-ny-10013/83158786897935921/","91 Leonard St, Unit 10C")</f>
        <v>91 Leonard St, Unit 10C</v>
      </c>
      <c r="B1458" s="2" t="str">
        <f t="shared" si="262"/>
        <v>91 Leonard</v>
      </c>
      <c r="C1458" s="1" t="s">
        <v>40</v>
      </c>
      <c r="D1458" s="1" t="s">
        <v>41</v>
      </c>
      <c r="E1458" s="3">
        <v>2693200</v>
      </c>
      <c r="F1458" s="1">
        <v>1763.7197118532999</v>
      </c>
      <c r="G1458" s="1">
        <v>4</v>
      </c>
      <c r="H1458" s="1" t="s">
        <v>77</v>
      </c>
      <c r="M1458" s="4">
        <v>1527</v>
      </c>
      <c r="Q1458" s="1" t="s">
        <v>42</v>
      </c>
      <c r="S1458" s="1" t="s">
        <v>42</v>
      </c>
      <c r="T1458" s="1" t="s">
        <v>203</v>
      </c>
      <c r="V1458" s="5">
        <v>44314</v>
      </c>
      <c r="W1458" s="5">
        <v>43367</v>
      </c>
      <c r="X1458" s="1">
        <v>2650000</v>
      </c>
      <c r="Y1458" s="1">
        <v>2650000</v>
      </c>
      <c r="Z1458" s="5">
        <v>43367</v>
      </c>
      <c r="AA1458" s="1">
        <v>2693200</v>
      </c>
      <c r="AB1458" s="1" t="s">
        <v>1118</v>
      </c>
      <c r="AC1458" s="5">
        <v>43727</v>
      </c>
      <c r="AF1458" s="1">
        <v>10013</v>
      </c>
      <c r="AI1458" s="1" t="s">
        <v>103</v>
      </c>
      <c r="AJ1458" s="1">
        <v>2016</v>
      </c>
      <c r="AK1458" s="1" t="s">
        <v>81</v>
      </c>
      <c r="AL1458" s="1">
        <v>111</v>
      </c>
    </row>
    <row r="1459" spans="1:38" x14ac:dyDescent="0.2">
      <c r="A1459" s="2" t="str">
        <f>HYPERLINK("https://www.compass.com/listing/212-5th-avenue-unit-12c-manhattan-ny-10010/115094517513807681/","212 5th Ave, Unit 12C")</f>
        <v>212 5th Ave, Unit 12C</v>
      </c>
      <c r="B1459" s="2" t="str">
        <f t="shared" ref="B1459:B1461" si="263">HYPERLINK("https://www.compass.com/building/212-5th-ave-manhattan-ny-10010/281902136567020981/","212 5th Ave")</f>
        <v>212 5th Ave</v>
      </c>
      <c r="C1459" s="1" t="s">
        <v>95</v>
      </c>
      <c r="D1459" s="1" t="s">
        <v>41</v>
      </c>
      <c r="E1459" s="3">
        <v>3750000</v>
      </c>
      <c r="F1459" s="1">
        <v>2438.2314694408301</v>
      </c>
      <c r="G1459" s="1">
        <v>4</v>
      </c>
      <c r="H1459" s="1">
        <v>2</v>
      </c>
      <c r="I1459" s="1">
        <v>3</v>
      </c>
      <c r="J1459" s="1">
        <v>2.5</v>
      </c>
      <c r="K1459" s="1">
        <v>2</v>
      </c>
      <c r="L1459" s="1">
        <v>1</v>
      </c>
      <c r="M1459" s="4">
        <v>1538</v>
      </c>
      <c r="N1459" s="1">
        <v>1851</v>
      </c>
      <c r="O1459" s="1">
        <v>3059</v>
      </c>
      <c r="P1459" s="1">
        <v>1208</v>
      </c>
      <c r="Q1459" s="1" t="s">
        <v>42</v>
      </c>
      <c r="S1459" s="1" t="s">
        <v>42</v>
      </c>
      <c r="T1459" s="1" t="s">
        <v>203</v>
      </c>
      <c r="U1459" s="1">
        <v>35</v>
      </c>
      <c r="V1459" s="5">
        <v>44399</v>
      </c>
      <c r="W1459" s="5">
        <v>43411</v>
      </c>
      <c r="X1459" s="1">
        <v>4100000</v>
      </c>
      <c r="Y1459" s="1">
        <v>4100000</v>
      </c>
      <c r="Z1459" s="5">
        <v>43446</v>
      </c>
      <c r="AA1459" s="1">
        <v>3750000</v>
      </c>
      <c r="AB1459" s="1" t="s">
        <v>1119</v>
      </c>
      <c r="AC1459" s="5">
        <v>43465</v>
      </c>
      <c r="AF1459" s="1">
        <v>10010</v>
      </c>
      <c r="AJ1459" s="1">
        <v>1912</v>
      </c>
      <c r="AK1459" s="1" t="s">
        <v>81</v>
      </c>
      <c r="AL1459" s="1">
        <v>48</v>
      </c>
    </row>
    <row r="1460" spans="1:38" x14ac:dyDescent="0.2">
      <c r="A1460" s="2" t="str">
        <f>HYPERLINK("https://www.compass.com/listing/212-5th-avenue-unit-14c-manhattan-ny-10010/129605489817404049/","212 5th Ave, Unit 14C")</f>
        <v>212 5th Ave, Unit 14C</v>
      </c>
      <c r="B1460" s="2" t="str">
        <f t="shared" si="263"/>
        <v>212 5th Ave</v>
      </c>
      <c r="C1460" s="1" t="s">
        <v>95</v>
      </c>
      <c r="D1460" s="1" t="s">
        <v>41</v>
      </c>
      <c r="E1460" s="3">
        <v>4000000</v>
      </c>
      <c r="F1460" s="1">
        <v>2600.7802340702201</v>
      </c>
      <c r="G1460" s="1">
        <v>4</v>
      </c>
      <c r="H1460" s="1">
        <v>2</v>
      </c>
      <c r="I1460" s="1">
        <v>3</v>
      </c>
      <c r="J1460" s="1">
        <v>2.5</v>
      </c>
      <c r="K1460" s="1">
        <v>2</v>
      </c>
      <c r="L1460" s="1">
        <v>1</v>
      </c>
      <c r="M1460" s="4">
        <v>1538</v>
      </c>
      <c r="N1460" s="1">
        <v>1879</v>
      </c>
      <c r="O1460" s="1">
        <v>3106</v>
      </c>
      <c r="P1460" s="1">
        <v>1227</v>
      </c>
      <c r="Q1460" s="1" t="s">
        <v>42</v>
      </c>
      <c r="S1460" s="1" t="s">
        <v>42</v>
      </c>
      <c r="T1460" s="1" t="s">
        <v>203</v>
      </c>
      <c r="U1460" s="1">
        <v>96</v>
      </c>
      <c r="V1460" s="5">
        <v>44399</v>
      </c>
      <c r="W1460" s="5">
        <v>43315</v>
      </c>
      <c r="X1460" s="1">
        <v>4700000</v>
      </c>
      <c r="Y1460" s="1">
        <v>4200000</v>
      </c>
      <c r="Z1460" s="5">
        <v>43431</v>
      </c>
      <c r="AA1460" s="1">
        <v>4000000</v>
      </c>
      <c r="AB1460" s="1" t="s">
        <v>1120</v>
      </c>
      <c r="AC1460" s="5">
        <v>43482</v>
      </c>
      <c r="AF1460" s="1">
        <v>10010</v>
      </c>
      <c r="AJ1460" s="1">
        <v>1912</v>
      </c>
      <c r="AK1460" s="1" t="s">
        <v>81</v>
      </c>
      <c r="AL1460" s="1">
        <v>48</v>
      </c>
    </row>
    <row r="1461" spans="1:38" x14ac:dyDescent="0.2">
      <c r="A1461" s="2" t="str">
        <f>HYPERLINK("https://www.compass.com/listing/212-5th-avenue-unit-14c-manhattan-ny-10010/45591605524058913/","212 5th Ave, Unit 14C")</f>
        <v>212 5th Ave, Unit 14C</v>
      </c>
      <c r="B1461" s="2" t="str">
        <f t="shared" si="263"/>
        <v>212 5th Ave</v>
      </c>
      <c r="C1461" s="1" t="s">
        <v>95</v>
      </c>
      <c r="D1461" s="1" t="s">
        <v>41</v>
      </c>
      <c r="E1461" s="3">
        <v>4000000</v>
      </c>
      <c r="F1461" s="1">
        <v>2600.7802340702201</v>
      </c>
      <c r="G1461" s="1">
        <v>5</v>
      </c>
      <c r="H1461" s="1">
        <v>2</v>
      </c>
      <c r="I1461" s="1">
        <v>3</v>
      </c>
      <c r="J1461" s="1">
        <v>2.5</v>
      </c>
      <c r="K1461" s="1">
        <v>2</v>
      </c>
      <c r="L1461" s="1">
        <v>1</v>
      </c>
      <c r="M1461" s="4">
        <v>1538</v>
      </c>
      <c r="N1461" s="1">
        <v>1806</v>
      </c>
      <c r="O1461" s="1">
        <v>3070</v>
      </c>
      <c r="P1461" s="1">
        <v>1264</v>
      </c>
      <c r="Q1461" s="1" t="s">
        <v>42</v>
      </c>
      <c r="S1461" s="1" t="s">
        <v>42</v>
      </c>
      <c r="T1461" s="1" t="s">
        <v>203</v>
      </c>
      <c r="U1461" s="1">
        <v>95</v>
      </c>
      <c r="V1461" s="5">
        <v>44399</v>
      </c>
      <c r="W1461" s="5">
        <v>43315</v>
      </c>
      <c r="X1461" s="1">
        <v>4700000</v>
      </c>
      <c r="Y1461" s="1">
        <v>4700000</v>
      </c>
      <c r="AA1461" s="1">
        <v>4000000</v>
      </c>
      <c r="AB1461" s="1" t="s">
        <v>1120</v>
      </c>
      <c r="AC1461" s="5">
        <v>43482</v>
      </c>
      <c r="AF1461" s="1">
        <v>10010</v>
      </c>
      <c r="AJ1461" s="1">
        <v>1912</v>
      </c>
      <c r="AK1461" s="1" t="s">
        <v>81</v>
      </c>
      <c r="AL1461" s="1">
        <v>48</v>
      </c>
    </row>
    <row r="1462" spans="1:38" x14ac:dyDescent="0.2">
      <c r="A1462" s="2" t="str">
        <f>HYPERLINK("https://www.compass.com/listing/555-west-end-avenue-unit-townhouse-south-manhattan-ny-10024/312291159115992353/","555 W End Ave, Unit Townhouse South")</f>
        <v>555 W End Ave, Unit Townhouse South</v>
      </c>
      <c r="B1462" s="2" t="str">
        <f>HYPERLINK("https://www.compass.com/building/555-west-end-avenue-manhattan-ny/292874438096018885/","555 West End Avenue")</f>
        <v>555 West End Avenue</v>
      </c>
      <c r="C1462" s="1" t="s">
        <v>47</v>
      </c>
      <c r="D1462" s="1" t="s">
        <v>41</v>
      </c>
      <c r="E1462" s="3">
        <v>12000000</v>
      </c>
      <c r="F1462" s="1">
        <v>2447.4811339995899</v>
      </c>
      <c r="G1462" s="1">
        <v>7.5</v>
      </c>
      <c r="H1462" s="1">
        <v>5</v>
      </c>
      <c r="I1462" s="1">
        <v>6</v>
      </c>
      <c r="J1462" s="1">
        <v>5.5</v>
      </c>
      <c r="K1462" s="1">
        <v>5</v>
      </c>
      <c r="L1462" s="1">
        <v>1</v>
      </c>
      <c r="M1462" s="4">
        <v>4903</v>
      </c>
      <c r="N1462" s="1">
        <v>5271</v>
      </c>
      <c r="O1462" s="1">
        <v>11322</v>
      </c>
      <c r="P1462" s="1">
        <v>6051</v>
      </c>
      <c r="Q1462" s="1" t="s">
        <v>143</v>
      </c>
      <c r="S1462" s="1" t="s">
        <v>42</v>
      </c>
      <c r="T1462" s="1" t="s">
        <v>203</v>
      </c>
      <c r="U1462" s="1">
        <v>39</v>
      </c>
      <c r="V1462" s="5">
        <v>44344</v>
      </c>
      <c r="W1462" s="5">
        <v>43683</v>
      </c>
      <c r="X1462" s="1">
        <v>12800000</v>
      </c>
      <c r="Y1462" s="1">
        <v>12800000</v>
      </c>
      <c r="Z1462" s="5">
        <v>43722</v>
      </c>
      <c r="AA1462" s="1">
        <v>12000000</v>
      </c>
      <c r="AB1462" s="1" t="s">
        <v>204</v>
      </c>
      <c r="AC1462" s="5">
        <v>43827</v>
      </c>
      <c r="AF1462" s="1">
        <v>10024</v>
      </c>
      <c r="AI1462" s="1" t="s">
        <v>141</v>
      </c>
      <c r="AJ1462" s="1">
        <v>2019</v>
      </c>
      <c r="AK1462" s="1" t="s">
        <v>87</v>
      </c>
      <c r="AL1462" s="1">
        <v>13</v>
      </c>
    </row>
    <row r="1463" spans="1:38" x14ac:dyDescent="0.2">
      <c r="A1463" s="2" t="str">
        <f>HYPERLINK("https://www.compass.com/listing/91-leonard-street-unit-8d-manhattan-ny-10013/34689471966370625/","91 Leonard St, Unit 8D")</f>
        <v>91 Leonard St, Unit 8D</v>
      </c>
      <c r="B1463" s="2" t="str">
        <f t="shared" ref="B1463:B1470" si="264">HYPERLINK("https://www.compass.com/building/91-leonard-manhattan-ny/282058661633754165/","91 Leonard")</f>
        <v>91 Leonard</v>
      </c>
      <c r="C1463" s="1" t="s">
        <v>40</v>
      </c>
      <c r="D1463" s="1" t="s">
        <v>41</v>
      </c>
      <c r="E1463" s="3">
        <v>839038</v>
      </c>
      <c r="F1463" s="1">
        <v>1635.5516569200699</v>
      </c>
      <c r="G1463" s="1">
        <v>1</v>
      </c>
      <c r="H1463" s="1" t="s">
        <v>77</v>
      </c>
      <c r="I1463" s="1">
        <v>1</v>
      </c>
      <c r="J1463" s="1">
        <v>1</v>
      </c>
      <c r="K1463" s="1">
        <v>1</v>
      </c>
      <c r="M1463" s="1">
        <v>513</v>
      </c>
      <c r="N1463" s="1">
        <v>598</v>
      </c>
      <c r="O1463" s="1">
        <v>1522</v>
      </c>
      <c r="P1463" s="1">
        <v>924</v>
      </c>
      <c r="Q1463" s="1" t="s">
        <v>42</v>
      </c>
      <c r="S1463" s="1" t="s">
        <v>42</v>
      </c>
      <c r="T1463" s="1" t="s">
        <v>203</v>
      </c>
      <c r="U1463" s="1">
        <v>219</v>
      </c>
      <c r="V1463" s="5">
        <v>44314</v>
      </c>
      <c r="W1463" s="5">
        <v>43080</v>
      </c>
      <c r="X1463" s="1">
        <v>895000</v>
      </c>
      <c r="Y1463" s="1">
        <v>915000</v>
      </c>
      <c r="Z1463" s="5">
        <v>43300</v>
      </c>
      <c r="AA1463" s="1">
        <v>839038</v>
      </c>
      <c r="AB1463" s="1" t="s">
        <v>1121</v>
      </c>
      <c r="AC1463" s="5">
        <v>43761</v>
      </c>
      <c r="AF1463" s="1">
        <v>10013</v>
      </c>
      <c r="AI1463" s="1" t="s">
        <v>103</v>
      </c>
      <c r="AJ1463" s="1">
        <v>2016</v>
      </c>
      <c r="AK1463" s="1" t="s">
        <v>81</v>
      </c>
      <c r="AL1463" s="1">
        <v>111</v>
      </c>
    </row>
    <row r="1464" spans="1:38" x14ac:dyDescent="0.2">
      <c r="A1464" s="2" t="str">
        <f>HYPERLINK("https://www.compass.com/listing/91-leonard-street-unit-11d-manhattan-ny-10013/34689474449500369/","91 Leonard St, Unit 11D")</f>
        <v>91 Leonard St, Unit 11D</v>
      </c>
      <c r="B1464" s="2" t="str">
        <f t="shared" si="264"/>
        <v>91 Leonard</v>
      </c>
      <c r="C1464" s="1" t="s">
        <v>40</v>
      </c>
      <c r="D1464" s="1" t="s">
        <v>41</v>
      </c>
      <c r="E1464" s="3">
        <v>883986</v>
      </c>
      <c r="F1464" s="1">
        <v>1723.1700779727</v>
      </c>
      <c r="G1464" s="1">
        <v>2</v>
      </c>
      <c r="H1464" s="1" t="s">
        <v>77</v>
      </c>
      <c r="I1464" s="1">
        <v>1</v>
      </c>
      <c r="J1464" s="1">
        <v>1</v>
      </c>
      <c r="K1464" s="1">
        <v>1</v>
      </c>
      <c r="M1464" s="1">
        <v>513</v>
      </c>
      <c r="N1464" s="1">
        <v>603</v>
      </c>
      <c r="O1464" s="1">
        <v>1524</v>
      </c>
      <c r="P1464" s="1">
        <v>921</v>
      </c>
      <c r="Q1464" s="1" t="s">
        <v>42</v>
      </c>
      <c r="S1464" s="1" t="s">
        <v>42</v>
      </c>
      <c r="T1464" s="1" t="s">
        <v>203</v>
      </c>
      <c r="U1464" s="1">
        <v>223</v>
      </c>
      <c r="V1464" s="5">
        <v>44314</v>
      </c>
      <c r="W1464" s="5">
        <v>43076</v>
      </c>
      <c r="X1464" s="1">
        <v>925000</v>
      </c>
      <c r="Y1464" s="1">
        <v>925000</v>
      </c>
      <c r="Z1464" s="5">
        <v>43300</v>
      </c>
      <c r="AA1464" s="1">
        <v>883986.25</v>
      </c>
      <c r="AB1464" s="1" t="s">
        <v>1122</v>
      </c>
      <c r="AC1464" s="5">
        <v>43734</v>
      </c>
      <c r="AF1464" s="1">
        <v>10013</v>
      </c>
      <c r="AI1464" s="1" t="s">
        <v>103</v>
      </c>
      <c r="AJ1464" s="1">
        <v>2016</v>
      </c>
      <c r="AK1464" s="1" t="s">
        <v>81</v>
      </c>
      <c r="AL1464" s="1">
        <v>111</v>
      </c>
    </row>
    <row r="1465" spans="1:38" x14ac:dyDescent="0.2">
      <c r="A1465" s="2" t="str">
        <f>HYPERLINK("https://www.compass.com/listing/91-leonard-street-unit-9d-manhattan-ny-10013/34689486386489617/","91 Leonard St, Unit 9D")</f>
        <v>91 Leonard St, Unit 9D</v>
      </c>
      <c r="B1465" s="2" t="str">
        <f t="shared" si="264"/>
        <v>91 Leonard</v>
      </c>
      <c r="C1465" s="1" t="s">
        <v>40</v>
      </c>
      <c r="D1465" s="1" t="s">
        <v>41</v>
      </c>
      <c r="E1465" s="3">
        <v>848813</v>
      </c>
      <c r="F1465" s="1">
        <v>1654.6066276803101</v>
      </c>
      <c r="G1465" s="1">
        <v>2</v>
      </c>
      <c r="H1465" s="1" t="s">
        <v>77</v>
      </c>
      <c r="I1465" s="1">
        <v>1</v>
      </c>
      <c r="J1465" s="1">
        <v>1</v>
      </c>
      <c r="K1465" s="1">
        <v>1</v>
      </c>
      <c r="M1465" s="1">
        <v>513</v>
      </c>
      <c r="N1465" s="1">
        <v>598</v>
      </c>
      <c r="O1465" s="1">
        <v>1521</v>
      </c>
      <c r="P1465" s="1">
        <v>923</v>
      </c>
      <c r="Q1465" s="1" t="s">
        <v>42</v>
      </c>
      <c r="S1465" s="1" t="s">
        <v>42</v>
      </c>
      <c r="T1465" s="1" t="s">
        <v>203</v>
      </c>
      <c r="U1465" s="1">
        <v>211</v>
      </c>
      <c r="V1465" s="5">
        <v>44314</v>
      </c>
      <c r="W1465" s="5">
        <v>43088</v>
      </c>
      <c r="X1465" s="1">
        <v>925000</v>
      </c>
      <c r="Y1465" s="1">
        <v>925000</v>
      </c>
      <c r="Z1465" s="5">
        <v>43300</v>
      </c>
      <c r="AA1465" s="1">
        <v>848813.2</v>
      </c>
      <c r="AB1465" s="1" t="s">
        <v>1123</v>
      </c>
      <c r="AC1465" s="5">
        <v>43700</v>
      </c>
      <c r="AF1465" s="1">
        <v>10013</v>
      </c>
      <c r="AI1465" s="1" t="s">
        <v>103</v>
      </c>
      <c r="AJ1465" s="1">
        <v>2016</v>
      </c>
      <c r="AK1465" s="1" t="s">
        <v>81</v>
      </c>
      <c r="AL1465" s="1">
        <v>111</v>
      </c>
    </row>
    <row r="1466" spans="1:38" x14ac:dyDescent="0.2">
      <c r="A1466" s="2" t="str">
        <f>HYPERLINK("https://www.compass.com/listing/91-leonard-street-unit-12d-manhattan-ny-10013/34689491360905057/","91 Leonard St, Unit 12D")</f>
        <v>91 Leonard St, Unit 12D</v>
      </c>
      <c r="B1466" s="2" t="str">
        <f t="shared" si="264"/>
        <v>91 Leonard</v>
      </c>
      <c r="C1466" s="1" t="s">
        <v>40</v>
      </c>
      <c r="D1466" s="1" t="s">
        <v>41</v>
      </c>
      <c r="E1466" s="3">
        <v>859000</v>
      </c>
      <c r="F1466" s="1">
        <v>1674.4639376218299</v>
      </c>
      <c r="G1466" s="1">
        <v>2</v>
      </c>
      <c r="H1466" s="1" t="s">
        <v>77</v>
      </c>
      <c r="I1466" s="1">
        <v>1</v>
      </c>
      <c r="J1466" s="1">
        <v>1</v>
      </c>
      <c r="K1466" s="1">
        <v>1</v>
      </c>
      <c r="M1466" s="1">
        <v>513</v>
      </c>
      <c r="N1466" s="1">
        <v>603</v>
      </c>
      <c r="O1466" s="1">
        <v>1524</v>
      </c>
      <c r="P1466" s="1">
        <v>921</v>
      </c>
      <c r="Q1466" s="1" t="s">
        <v>42</v>
      </c>
      <c r="S1466" s="1" t="s">
        <v>42</v>
      </c>
      <c r="T1466" s="1" t="s">
        <v>203</v>
      </c>
      <c r="U1466" s="1">
        <v>211</v>
      </c>
      <c r="V1466" s="5">
        <v>44314</v>
      </c>
      <c r="W1466" s="5">
        <v>43088</v>
      </c>
      <c r="X1466" s="1">
        <v>955000</v>
      </c>
      <c r="Y1466" s="1">
        <v>975000</v>
      </c>
      <c r="Z1466" s="5">
        <v>43300</v>
      </c>
      <c r="AA1466" s="1">
        <v>859000</v>
      </c>
      <c r="AB1466" s="1" t="s">
        <v>204</v>
      </c>
      <c r="AC1466" s="5">
        <v>43469</v>
      </c>
      <c r="AF1466" s="1">
        <v>10013</v>
      </c>
      <c r="AI1466" s="1" t="s">
        <v>998</v>
      </c>
      <c r="AJ1466" s="1">
        <v>2016</v>
      </c>
      <c r="AK1466" s="1" t="s">
        <v>81</v>
      </c>
      <c r="AL1466" s="1">
        <v>111</v>
      </c>
    </row>
    <row r="1467" spans="1:38" x14ac:dyDescent="0.2">
      <c r="A1467" s="2" t="str">
        <f>HYPERLINK("https://www.compass.com/listing/91-leonard-street-unit-4d-manhattan-ny-10013/34689500143705329/","91 Leonard St, Unit 4D")</f>
        <v>91 Leonard St, Unit 4D</v>
      </c>
      <c r="B1467" s="2" t="str">
        <f t="shared" si="264"/>
        <v>91 Leonard</v>
      </c>
      <c r="C1467" s="1" t="s">
        <v>40</v>
      </c>
      <c r="D1467" s="1" t="s">
        <v>41</v>
      </c>
      <c r="E1467" s="3">
        <v>838223</v>
      </c>
      <c r="F1467" s="1">
        <v>1637.155078125</v>
      </c>
      <c r="G1467" s="1">
        <v>2</v>
      </c>
      <c r="H1467" s="1" t="s">
        <v>77</v>
      </c>
      <c r="I1467" s="1">
        <v>1</v>
      </c>
      <c r="J1467" s="1">
        <v>1</v>
      </c>
      <c r="K1467" s="1">
        <v>1</v>
      </c>
      <c r="M1467" s="1">
        <v>512</v>
      </c>
      <c r="N1467" s="1">
        <v>582</v>
      </c>
      <c r="O1467" s="1">
        <v>1471</v>
      </c>
      <c r="P1467" s="1">
        <v>889</v>
      </c>
      <c r="Q1467" s="1" t="s">
        <v>42</v>
      </c>
      <c r="S1467" s="1" t="s">
        <v>42</v>
      </c>
      <c r="T1467" s="1" t="s">
        <v>203</v>
      </c>
      <c r="U1467" s="1">
        <v>268</v>
      </c>
      <c r="V1467" s="5">
        <v>44314</v>
      </c>
      <c r="W1467" s="5">
        <v>43031</v>
      </c>
      <c r="X1467" s="1">
        <v>795000</v>
      </c>
      <c r="Y1467" s="1">
        <v>895000</v>
      </c>
      <c r="Z1467" s="5">
        <v>43300</v>
      </c>
      <c r="AA1467" s="1">
        <v>838223.4</v>
      </c>
      <c r="AB1467" s="1" t="s">
        <v>1124</v>
      </c>
      <c r="AC1467" s="5">
        <v>43735</v>
      </c>
      <c r="AF1467" s="1">
        <v>10013</v>
      </c>
      <c r="AI1467" s="1" t="s">
        <v>103</v>
      </c>
      <c r="AJ1467" s="1">
        <v>2016</v>
      </c>
      <c r="AK1467" s="1" t="s">
        <v>81</v>
      </c>
      <c r="AL1467" s="1">
        <v>111</v>
      </c>
    </row>
    <row r="1468" spans="1:38" x14ac:dyDescent="0.2">
      <c r="A1468" s="2" t="str">
        <f>HYPERLINK("https://www.compass.com/listing/91-leonard-street-unit-5d-manhattan-ny-10013/34689503549581985/","91 Leonard St, Unit 5D")</f>
        <v>91 Leonard St, Unit 5D</v>
      </c>
      <c r="B1468" s="2" t="str">
        <f t="shared" si="264"/>
        <v>91 Leonard</v>
      </c>
      <c r="C1468" s="1" t="s">
        <v>40</v>
      </c>
      <c r="D1468" s="1" t="s">
        <v>41</v>
      </c>
      <c r="E1468" s="3">
        <v>790162</v>
      </c>
      <c r="F1468" s="1">
        <v>1543.28515625</v>
      </c>
      <c r="G1468" s="1">
        <v>2</v>
      </c>
      <c r="H1468" s="1" t="s">
        <v>77</v>
      </c>
      <c r="I1468" s="1">
        <v>1</v>
      </c>
      <c r="J1468" s="1">
        <v>1</v>
      </c>
      <c r="K1468" s="1">
        <v>1</v>
      </c>
      <c r="M1468" s="1">
        <v>512</v>
      </c>
      <c r="N1468" s="1">
        <v>587</v>
      </c>
      <c r="O1468" s="1">
        <v>1484</v>
      </c>
      <c r="P1468" s="1">
        <v>897</v>
      </c>
      <c r="Q1468" s="1" t="s">
        <v>42</v>
      </c>
      <c r="S1468" s="1" t="s">
        <v>42</v>
      </c>
      <c r="T1468" s="1" t="s">
        <v>203</v>
      </c>
      <c r="U1468" s="1">
        <v>225</v>
      </c>
      <c r="V1468" s="5">
        <v>44314</v>
      </c>
      <c r="W1468" s="5">
        <v>43074</v>
      </c>
      <c r="X1468" s="1">
        <v>772800</v>
      </c>
      <c r="Y1468" s="1">
        <v>905000</v>
      </c>
      <c r="Z1468" s="5">
        <v>43300</v>
      </c>
      <c r="AA1468" s="1">
        <v>790162</v>
      </c>
      <c r="AB1468" s="1" t="s">
        <v>1125</v>
      </c>
      <c r="AC1468" s="5">
        <v>43719</v>
      </c>
      <c r="AF1468" s="1">
        <v>10013</v>
      </c>
      <c r="AI1468" s="1" t="s">
        <v>103</v>
      </c>
      <c r="AJ1468" s="1">
        <v>2016</v>
      </c>
      <c r="AK1468" s="1" t="s">
        <v>81</v>
      </c>
      <c r="AL1468" s="1">
        <v>111</v>
      </c>
    </row>
    <row r="1469" spans="1:38" x14ac:dyDescent="0.2">
      <c r="A1469" s="2" t="str">
        <f>HYPERLINK("https://www.compass.com/listing/91-leonard-street-unit-6d-manhattan-ny-10013/34697260671465329/","91 Leonard St, Unit 6D")</f>
        <v>91 Leonard St, Unit 6D</v>
      </c>
      <c r="B1469" s="2" t="str">
        <f t="shared" si="264"/>
        <v>91 Leonard</v>
      </c>
      <c r="C1469" s="1" t="s">
        <v>40</v>
      </c>
      <c r="D1469" s="1" t="s">
        <v>41</v>
      </c>
      <c r="E1469" s="3">
        <v>819488</v>
      </c>
      <c r="F1469" s="1">
        <v>1600.5625</v>
      </c>
      <c r="G1469" s="1">
        <v>2</v>
      </c>
      <c r="H1469" s="1" t="s">
        <v>77</v>
      </c>
      <c r="I1469" s="1">
        <v>1</v>
      </c>
      <c r="J1469" s="1">
        <v>1</v>
      </c>
      <c r="K1469" s="1">
        <v>1</v>
      </c>
      <c r="M1469" s="1">
        <v>512</v>
      </c>
      <c r="N1469" s="1">
        <v>587</v>
      </c>
      <c r="O1469" s="1">
        <v>1484</v>
      </c>
      <c r="P1469" s="1">
        <v>897</v>
      </c>
      <c r="Q1469" s="1" t="s">
        <v>42</v>
      </c>
      <c r="S1469" s="1" t="s">
        <v>42</v>
      </c>
      <c r="T1469" s="1" t="s">
        <v>203</v>
      </c>
      <c r="U1469" s="1">
        <v>223</v>
      </c>
      <c r="V1469" s="5">
        <v>44314</v>
      </c>
      <c r="W1469" s="5">
        <v>43076</v>
      </c>
      <c r="X1469" s="1">
        <v>875000</v>
      </c>
      <c r="Y1469" s="1">
        <v>915000</v>
      </c>
      <c r="Z1469" s="5">
        <v>43300</v>
      </c>
      <c r="AA1469" s="1">
        <v>819488</v>
      </c>
      <c r="AB1469" s="1" t="s">
        <v>1126</v>
      </c>
      <c r="AC1469" s="5">
        <v>43749</v>
      </c>
      <c r="AF1469" s="1">
        <v>10013</v>
      </c>
      <c r="AI1469" s="1" t="s">
        <v>103</v>
      </c>
      <c r="AJ1469" s="1">
        <v>2016</v>
      </c>
      <c r="AK1469" s="1" t="s">
        <v>81</v>
      </c>
      <c r="AL1469" s="1">
        <v>111</v>
      </c>
    </row>
    <row r="1470" spans="1:38" x14ac:dyDescent="0.2">
      <c r="A1470" s="2" t="str">
        <f>HYPERLINK("https://www.compass.com/listing/91-leonard-street-unit-7d-manhattan-ny-10013/803356073612222209/","91 Leonard St, Unit 7D")</f>
        <v>91 Leonard St, Unit 7D</v>
      </c>
      <c r="B1470" s="2" t="str">
        <f t="shared" si="264"/>
        <v>91 Leonard</v>
      </c>
      <c r="C1470" s="1" t="s">
        <v>40</v>
      </c>
      <c r="D1470" s="1" t="s">
        <v>41</v>
      </c>
      <c r="E1470" s="3">
        <v>829262</v>
      </c>
      <c r="F1470" s="1">
        <v>1619.65234375</v>
      </c>
      <c r="G1470" s="1">
        <v>2</v>
      </c>
      <c r="H1470" s="1" t="s">
        <v>77</v>
      </c>
      <c r="I1470" s="1">
        <v>1</v>
      </c>
      <c r="J1470" s="1">
        <v>1</v>
      </c>
      <c r="K1470" s="1">
        <v>1</v>
      </c>
      <c r="M1470" s="1">
        <v>512</v>
      </c>
      <c r="N1470" s="1">
        <v>587</v>
      </c>
      <c r="O1470" s="1">
        <v>1494</v>
      </c>
      <c r="P1470" s="1">
        <v>907</v>
      </c>
      <c r="Q1470" s="1" t="s">
        <v>42</v>
      </c>
      <c r="S1470" s="1" t="s">
        <v>42</v>
      </c>
      <c r="T1470" s="1" t="s">
        <v>203</v>
      </c>
      <c r="V1470" s="5">
        <v>44314</v>
      </c>
      <c r="W1470" s="5">
        <v>43076</v>
      </c>
      <c r="X1470" s="1">
        <v>885000</v>
      </c>
      <c r="Y1470" s="1">
        <v>885000</v>
      </c>
      <c r="AA1470" s="1">
        <v>829262</v>
      </c>
      <c r="AB1470" s="1" t="s">
        <v>204</v>
      </c>
      <c r="AC1470" s="5">
        <v>43077</v>
      </c>
      <c r="AF1470" s="1">
        <v>10013</v>
      </c>
      <c r="AI1470" s="1" t="s">
        <v>103</v>
      </c>
      <c r="AJ1470" s="1">
        <v>2016</v>
      </c>
      <c r="AK1470" s="1" t="s">
        <v>81</v>
      </c>
      <c r="AL1470" s="1">
        <v>111</v>
      </c>
    </row>
    <row r="1471" spans="1:38" x14ac:dyDescent="0.2">
      <c r="A1471" s="2" t="str">
        <f>HYPERLINK("https://www.compass.com/listing/269-west-87th-street-unit-phb-manhattan-ny-10024/749253935839544337/","269 W 87th St, Unit PHB")</f>
        <v>269 W 87th St, Unit PHB</v>
      </c>
      <c r="B1471" s="2" t="str">
        <f>HYPERLINK("https://www.compass.com/building/west-end-and-eighty-seven-manhattan-ny/282058755477110005/","West End and Eighty Seven")</f>
        <v>West End and Eighty Seven</v>
      </c>
      <c r="C1471" s="1" t="s">
        <v>47</v>
      </c>
      <c r="D1471" s="1" t="s">
        <v>41</v>
      </c>
      <c r="E1471" s="3">
        <v>6250000</v>
      </c>
      <c r="F1471" s="1">
        <v>1609.9948480164801</v>
      </c>
      <c r="G1471" s="1">
        <v>9</v>
      </c>
      <c r="H1471" s="1">
        <v>5</v>
      </c>
      <c r="I1471" s="1">
        <v>6</v>
      </c>
      <c r="J1471" s="1">
        <v>5.5</v>
      </c>
      <c r="K1471" s="1">
        <v>5</v>
      </c>
      <c r="L1471" s="1">
        <v>1</v>
      </c>
      <c r="M1471" s="4">
        <v>3882</v>
      </c>
      <c r="N1471" s="1">
        <v>21320</v>
      </c>
      <c r="O1471" s="1">
        <v>21320</v>
      </c>
      <c r="Q1471" s="1" t="s">
        <v>353</v>
      </c>
      <c r="S1471" s="1" t="s">
        <v>353</v>
      </c>
      <c r="T1471" s="1" t="s">
        <v>203</v>
      </c>
      <c r="U1471" s="1">
        <v>10</v>
      </c>
      <c r="V1471" s="5">
        <v>44320</v>
      </c>
      <c r="W1471" s="5">
        <v>44285</v>
      </c>
      <c r="X1471" s="1">
        <v>6600000</v>
      </c>
      <c r="Y1471" s="1">
        <v>6600000</v>
      </c>
      <c r="Z1471" s="5">
        <v>44295</v>
      </c>
      <c r="AA1471" s="1">
        <v>6250000</v>
      </c>
      <c r="AB1471" s="1" t="s">
        <v>204</v>
      </c>
      <c r="AC1471" s="5">
        <v>44316</v>
      </c>
      <c r="AF1471" s="1">
        <v>10024</v>
      </c>
      <c r="AI1471" s="1" t="s">
        <v>1127</v>
      </c>
      <c r="AJ1471" s="1">
        <v>2018</v>
      </c>
      <c r="AK1471" s="1" t="s">
        <v>81</v>
      </c>
      <c r="AL1471" s="1">
        <v>39</v>
      </c>
    </row>
    <row r="1472" spans="1:38" x14ac:dyDescent="0.2">
      <c r="A1472" s="2" t="str">
        <f>HYPERLINK("https://www.compass.com/listing/70-vestry-street-unit-12s-manhattan-ny-10013/19929609772538353/","70 Vestry St, Unit 12S")</f>
        <v>70 Vestry St, Unit 12S</v>
      </c>
      <c r="B1472" s="2" t="str">
        <f t="shared" ref="B1472:B1473" si="265">HYPERLINK("https://www.compass.com/building/70-vestry-st-manhattan-ny-10013/281921126949489413/","70 Vestry St")</f>
        <v>70 Vestry St</v>
      </c>
      <c r="C1472" s="1" t="s">
        <v>40</v>
      </c>
      <c r="D1472" s="1" t="s">
        <v>41</v>
      </c>
      <c r="E1472" s="3">
        <v>39285000</v>
      </c>
      <c r="F1472" s="1">
        <v>4707.0452911574403</v>
      </c>
      <c r="G1472" s="1">
        <v>8</v>
      </c>
      <c r="H1472" s="1">
        <v>6</v>
      </c>
      <c r="I1472" s="1">
        <v>11</v>
      </c>
      <c r="J1472" s="1">
        <v>10.5</v>
      </c>
      <c r="K1472" s="1">
        <v>10</v>
      </c>
      <c r="L1472" s="1">
        <v>1</v>
      </c>
      <c r="M1472" s="4">
        <v>8346</v>
      </c>
      <c r="N1472" s="1">
        <v>7760</v>
      </c>
      <c r="O1472" s="1">
        <v>16035</v>
      </c>
      <c r="P1472" s="1">
        <v>8275</v>
      </c>
      <c r="Q1472" s="1" t="s">
        <v>42</v>
      </c>
      <c r="S1472" s="1" t="s">
        <v>42</v>
      </c>
      <c r="T1472" s="1" t="s">
        <v>203</v>
      </c>
      <c r="U1472" s="1">
        <v>76</v>
      </c>
      <c r="V1472" s="5">
        <v>43806</v>
      </c>
      <c r="W1472" s="5">
        <v>42742</v>
      </c>
      <c r="X1472" s="1">
        <v>26000000</v>
      </c>
      <c r="Y1472" s="1">
        <v>28000000</v>
      </c>
      <c r="Z1472" s="5">
        <v>42818</v>
      </c>
      <c r="AA1472" s="1">
        <v>39285000</v>
      </c>
      <c r="AB1472" s="1" t="s">
        <v>1128</v>
      </c>
      <c r="AC1472" s="5">
        <v>43511</v>
      </c>
      <c r="AF1472" s="1">
        <v>10013</v>
      </c>
      <c r="AI1472" s="1" t="s">
        <v>93</v>
      </c>
      <c r="AJ1472" s="1">
        <v>2018</v>
      </c>
      <c r="AK1472" s="1" t="s">
        <v>81</v>
      </c>
      <c r="AL1472" s="1">
        <v>46</v>
      </c>
    </row>
    <row r="1473" spans="1:38" x14ac:dyDescent="0.2">
      <c r="A1473" s="2" t="str">
        <f>HYPERLINK("https://www.compass.com/listing/70-vestry-street-unit-9n-manhattan-ny-10013/21054551339693329/","70 Vestry St, Unit 9N")</f>
        <v>70 Vestry St, Unit 9N</v>
      </c>
      <c r="B1473" s="2" t="str">
        <f t="shared" si="265"/>
        <v>70 Vestry St</v>
      </c>
      <c r="C1473" s="1" t="s">
        <v>40</v>
      </c>
      <c r="D1473" s="1" t="s">
        <v>41</v>
      </c>
      <c r="E1473" s="3">
        <v>23500000</v>
      </c>
      <c r="F1473" s="1">
        <v>4364.7845468053401</v>
      </c>
      <c r="G1473" s="1">
        <v>9</v>
      </c>
      <c r="H1473" s="1">
        <v>6</v>
      </c>
      <c r="I1473" s="1">
        <v>8</v>
      </c>
      <c r="J1473" s="1">
        <v>7.5</v>
      </c>
      <c r="K1473" s="1">
        <v>7</v>
      </c>
      <c r="L1473" s="1">
        <v>1</v>
      </c>
      <c r="M1473" s="4">
        <v>5384</v>
      </c>
      <c r="N1473" s="1">
        <v>9280</v>
      </c>
      <c r="O1473" s="1">
        <v>19177</v>
      </c>
      <c r="P1473" s="1">
        <v>9897</v>
      </c>
      <c r="Q1473" s="1" t="s">
        <v>42</v>
      </c>
      <c r="S1473" s="1" t="s">
        <v>42</v>
      </c>
      <c r="T1473" s="1" t="s">
        <v>203</v>
      </c>
      <c r="U1473" s="1">
        <v>143</v>
      </c>
      <c r="V1473" s="5">
        <v>43806</v>
      </c>
      <c r="W1473" s="5">
        <v>42668</v>
      </c>
      <c r="X1473" s="1">
        <v>25700000</v>
      </c>
      <c r="Y1473" s="1">
        <v>27500000</v>
      </c>
      <c r="Z1473" s="5">
        <v>42811</v>
      </c>
      <c r="AA1473" s="1">
        <v>23500000</v>
      </c>
      <c r="AB1473" s="1" t="s">
        <v>1129</v>
      </c>
      <c r="AC1473" s="5">
        <v>43355</v>
      </c>
      <c r="AF1473" s="1">
        <v>10013</v>
      </c>
      <c r="AI1473" s="1" t="s">
        <v>193</v>
      </c>
      <c r="AJ1473" s="1">
        <v>2018</v>
      </c>
      <c r="AK1473" s="1" t="s">
        <v>81</v>
      </c>
      <c r="AL1473" s="1">
        <v>46</v>
      </c>
    </row>
    <row r="1474" spans="1:38" x14ac:dyDescent="0.2">
      <c r="A1474" s="2" t="str">
        <f>HYPERLINK("https://www.compass.com/listing/212-5th-avenue-unit-9c-manhattan-ny-10010/206529298822086609/","212 5th Ave, Unit 9C")</f>
        <v>212 5th Ave, Unit 9C</v>
      </c>
      <c r="B1474" s="2" t="str">
        <f t="shared" ref="B1474:B1478" si="266">HYPERLINK("https://www.compass.com/building/212-5th-ave-manhattan-ny-10010/281902136567020981/","212 5th Ave")</f>
        <v>212 5th Ave</v>
      </c>
      <c r="C1474" s="1" t="s">
        <v>95</v>
      </c>
      <c r="D1474" s="1" t="s">
        <v>41</v>
      </c>
      <c r="E1474" s="3">
        <v>4242708</v>
      </c>
      <c r="F1474" s="1">
        <v>2758.5877763328999</v>
      </c>
      <c r="G1474" s="1">
        <v>4</v>
      </c>
      <c r="H1474" s="1">
        <v>2</v>
      </c>
      <c r="I1474" s="1">
        <v>3</v>
      </c>
      <c r="J1474" s="1">
        <v>2.5</v>
      </c>
      <c r="K1474" s="1">
        <v>2</v>
      </c>
      <c r="L1474" s="1">
        <v>1</v>
      </c>
      <c r="M1474" s="4">
        <v>1538</v>
      </c>
      <c r="N1474" s="1">
        <v>1521</v>
      </c>
      <c r="O1474" s="1">
        <v>3219</v>
      </c>
      <c r="P1474" s="1">
        <v>1698</v>
      </c>
      <c r="Q1474" s="1" t="s">
        <v>42</v>
      </c>
      <c r="S1474" s="1" t="s">
        <v>42</v>
      </c>
      <c r="T1474" s="1" t="s">
        <v>203</v>
      </c>
      <c r="V1474" s="5">
        <v>43668</v>
      </c>
      <c r="W1474" s="5">
        <v>42649</v>
      </c>
      <c r="X1474" s="1">
        <v>4600000</v>
      </c>
      <c r="Y1474" s="1">
        <v>4600000</v>
      </c>
      <c r="Z1474" s="5">
        <v>42649</v>
      </c>
      <c r="AA1474" s="1">
        <v>4242708</v>
      </c>
      <c r="AB1474" s="1" t="s">
        <v>1130</v>
      </c>
      <c r="AC1474" s="5">
        <v>42803</v>
      </c>
      <c r="AF1474" s="1">
        <v>10010</v>
      </c>
      <c r="AJ1474" s="1">
        <v>1912</v>
      </c>
      <c r="AK1474" s="1" t="s">
        <v>81</v>
      </c>
      <c r="AL1474" s="1">
        <v>48</v>
      </c>
    </row>
    <row r="1475" spans="1:38" x14ac:dyDescent="0.2">
      <c r="A1475" s="2" t="str">
        <f>HYPERLINK("https://www.compass.com/listing/212-5th-avenue-unit-9c-manhattan-ny-10010/803463117920845553/","212 5th Ave, Unit 9C")</f>
        <v>212 5th Ave, Unit 9C</v>
      </c>
      <c r="B1475" s="2" t="str">
        <f t="shared" si="266"/>
        <v>212 5th Ave</v>
      </c>
      <c r="C1475" s="1" t="s">
        <v>95</v>
      </c>
      <c r="D1475" s="1" t="s">
        <v>41</v>
      </c>
      <c r="E1475" s="3">
        <v>4242708</v>
      </c>
      <c r="F1475" s="1">
        <v>2758.5879973992101</v>
      </c>
      <c r="G1475" s="1">
        <v>4</v>
      </c>
      <c r="H1475" s="1">
        <v>2</v>
      </c>
      <c r="I1475" s="1">
        <v>3</v>
      </c>
      <c r="J1475" s="1">
        <v>2.5</v>
      </c>
      <c r="M1475" s="4">
        <v>1538</v>
      </c>
      <c r="N1475" s="1">
        <v>1521</v>
      </c>
      <c r="O1475" s="1">
        <v>3219</v>
      </c>
      <c r="P1475" s="1">
        <v>1698</v>
      </c>
      <c r="Q1475" s="1" t="s">
        <v>42</v>
      </c>
      <c r="S1475" s="1" t="s">
        <v>42</v>
      </c>
      <c r="T1475" s="1" t="s">
        <v>203</v>
      </c>
      <c r="V1475" s="5">
        <v>42775</v>
      </c>
      <c r="W1475" s="5">
        <v>42454</v>
      </c>
      <c r="X1475" s="1">
        <v>4600000</v>
      </c>
      <c r="Y1475" s="1">
        <v>4600000</v>
      </c>
      <c r="Z1475" s="5">
        <v>42454</v>
      </c>
      <c r="AA1475" s="1">
        <v>4242708.34</v>
      </c>
      <c r="AB1475" s="1" t="s">
        <v>1130</v>
      </c>
      <c r="AC1475" s="5">
        <v>42802</v>
      </c>
      <c r="AF1475" s="1">
        <v>10010</v>
      </c>
      <c r="AJ1475" s="1">
        <v>1912</v>
      </c>
      <c r="AK1475" s="1" t="s">
        <v>81</v>
      </c>
      <c r="AL1475" s="1">
        <v>48</v>
      </c>
    </row>
    <row r="1476" spans="1:38" x14ac:dyDescent="0.2">
      <c r="A1476" s="2" t="str">
        <f>HYPERLINK("https://www.compass.com/listing/212-5th-avenue-unit-11a-manhattan-ny-10010/29374784391419841/","212 5th Ave, Unit 11A")</f>
        <v>212 5th Ave, Unit 11A</v>
      </c>
      <c r="B1476" s="2" t="str">
        <f t="shared" si="266"/>
        <v>212 5th Ave</v>
      </c>
      <c r="C1476" s="1" t="s">
        <v>95</v>
      </c>
      <c r="D1476" s="1" t="s">
        <v>41</v>
      </c>
      <c r="E1476" s="3">
        <v>11800000</v>
      </c>
      <c r="F1476" s="1">
        <v>3922.8723404255302</v>
      </c>
      <c r="G1476" s="1">
        <v>5</v>
      </c>
      <c r="H1476" s="1">
        <v>3</v>
      </c>
      <c r="I1476" s="1">
        <v>4</v>
      </c>
      <c r="J1476" s="1">
        <v>3.5</v>
      </c>
      <c r="M1476" s="4">
        <v>3008</v>
      </c>
      <c r="N1476" s="1">
        <v>4271</v>
      </c>
      <c r="O1476" s="1">
        <v>7329</v>
      </c>
      <c r="P1476" s="1">
        <v>3058</v>
      </c>
      <c r="Q1476" s="1" t="s">
        <v>42</v>
      </c>
      <c r="S1476" s="1" t="s">
        <v>42</v>
      </c>
      <c r="T1476" s="1" t="s">
        <v>203</v>
      </c>
      <c r="U1476" s="1">
        <v>119</v>
      </c>
      <c r="V1476" s="5">
        <v>43664</v>
      </c>
      <c r="W1476" s="5">
        <v>42781</v>
      </c>
      <c r="X1476" s="1">
        <v>11700000</v>
      </c>
      <c r="Y1476" s="1">
        <v>11700000</v>
      </c>
      <c r="Z1476" s="5">
        <v>42900</v>
      </c>
      <c r="AA1476" s="1">
        <v>11800000</v>
      </c>
      <c r="AB1476" s="1" t="s">
        <v>1131</v>
      </c>
      <c r="AC1476" s="5">
        <v>42900</v>
      </c>
      <c r="AF1476" s="1">
        <v>10010</v>
      </c>
      <c r="AJ1476" s="1">
        <v>1912</v>
      </c>
      <c r="AK1476" s="1" t="s">
        <v>50</v>
      </c>
      <c r="AL1476" s="1">
        <v>48</v>
      </c>
    </row>
    <row r="1477" spans="1:38" x14ac:dyDescent="0.2">
      <c r="A1477" s="2" t="str">
        <f>HYPERLINK("https://www.compass.com/listing/212-5th-avenue-unit-11c-manhattan-ny-10010/29374784894791601/","212 5th Ave, Unit 11C")</f>
        <v>212 5th Ave, Unit 11C</v>
      </c>
      <c r="B1477" s="2" t="str">
        <f t="shared" si="266"/>
        <v>212 5th Ave</v>
      </c>
      <c r="C1477" s="1" t="s">
        <v>95</v>
      </c>
      <c r="D1477" s="1" t="s">
        <v>41</v>
      </c>
      <c r="E1477" s="3">
        <v>4500000</v>
      </c>
      <c r="F1477" s="1">
        <v>2925.8777633289901</v>
      </c>
      <c r="G1477" s="1">
        <v>4</v>
      </c>
      <c r="H1477" s="1">
        <v>2</v>
      </c>
      <c r="I1477" s="1">
        <v>3</v>
      </c>
      <c r="J1477" s="1">
        <v>2.5</v>
      </c>
      <c r="M1477" s="4">
        <v>1538</v>
      </c>
      <c r="N1477" s="1">
        <v>1736</v>
      </c>
      <c r="O1477" s="1">
        <v>2979</v>
      </c>
      <c r="P1477" s="1">
        <v>1243</v>
      </c>
      <c r="Q1477" s="1" t="s">
        <v>42</v>
      </c>
      <c r="S1477" s="1" t="s">
        <v>42</v>
      </c>
      <c r="T1477" s="1" t="s">
        <v>203</v>
      </c>
      <c r="U1477" s="1">
        <v>204</v>
      </c>
      <c r="V1477" s="5">
        <v>43271</v>
      </c>
      <c r="W1477" s="5">
        <v>42780</v>
      </c>
      <c r="X1477" s="1">
        <v>4800000</v>
      </c>
      <c r="Y1477" s="1">
        <v>4800000</v>
      </c>
      <c r="Z1477" s="5">
        <v>42985</v>
      </c>
      <c r="AA1477" s="1">
        <v>4500000</v>
      </c>
      <c r="AB1477" s="1" t="s">
        <v>1132</v>
      </c>
      <c r="AC1477" s="5">
        <v>43076</v>
      </c>
      <c r="AF1477" s="1">
        <v>10010</v>
      </c>
      <c r="AJ1477" s="1">
        <v>1912</v>
      </c>
      <c r="AK1477" s="1" t="s">
        <v>50</v>
      </c>
      <c r="AL1477" s="1">
        <v>48</v>
      </c>
    </row>
    <row r="1478" spans="1:38" x14ac:dyDescent="0.2">
      <c r="A1478" s="2" t="str">
        <f>HYPERLINK("https://www.compass.com/listing/212-5th-avenue-unit-11c-manhattan-ny-10010/803303631935602017/","212 5th Ave, Unit 11C")</f>
        <v>212 5th Ave, Unit 11C</v>
      </c>
      <c r="B1478" s="2" t="str">
        <f t="shared" si="266"/>
        <v>212 5th Ave</v>
      </c>
      <c r="C1478" s="1" t="s">
        <v>95</v>
      </c>
      <c r="D1478" s="1" t="s">
        <v>41</v>
      </c>
      <c r="E1478" s="3">
        <v>4500000</v>
      </c>
      <c r="F1478" s="1">
        <v>2925.8777633289901</v>
      </c>
      <c r="G1478" s="1">
        <v>4</v>
      </c>
      <c r="H1478" s="1">
        <v>2</v>
      </c>
      <c r="I1478" s="1">
        <v>3</v>
      </c>
      <c r="J1478" s="1">
        <v>2.5</v>
      </c>
      <c r="K1478" s="1">
        <v>2</v>
      </c>
      <c r="L1478" s="1">
        <v>1</v>
      </c>
      <c r="M1478" s="4">
        <v>1538</v>
      </c>
      <c r="N1478" s="1">
        <v>1736</v>
      </c>
      <c r="O1478" s="1">
        <v>2979</v>
      </c>
      <c r="P1478" s="1">
        <v>1243</v>
      </c>
      <c r="Q1478" s="1" t="s">
        <v>42</v>
      </c>
      <c r="S1478" s="1" t="s">
        <v>42</v>
      </c>
      <c r="T1478" s="1" t="s">
        <v>203</v>
      </c>
      <c r="U1478" s="1">
        <v>296</v>
      </c>
      <c r="V1478" s="5">
        <v>44399</v>
      </c>
      <c r="W1478" s="5">
        <v>42780</v>
      </c>
      <c r="X1478" s="1">
        <v>4800000</v>
      </c>
      <c r="Y1478" s="1">
        <v>4800000</v>
      </c>
      <c r="AA1478" s="1">
        <v>4500000</v>
      </c>
      <c r="AB1478" s="1" t="s">
        <v>1132</v>
      </c>
      <c r="AC1478" s="5">
        <v>43076</v>
      </c>
      <c r="AF1478" s="1">
        <v>10010</v>
      </c>
      <c r="AJ1478" s="1">
        <v>1912</v>
      </c>
      <c r="AK1478" s="1" t="s">
        <v>81</v>
      </c>
      <c r="AL1478" s="1">
        <v>48</v>
      </c>
    </row>
    <row r="1479" spans="1:38" x14ac:dyDescent="0.2">
      <c r="A1479" s="2" t="str">
        <f>HYPERLINK("https://www.compass.com/listing/212-west-95th-street-unit-10a-manhattan-ny-10025/655545348757859273/","212 W 95th St, Unit 10A")</f>
        <v>212 W 95th St, Unit 10A</v>
      </c>
      <c r="B1479" s="2" t="str">
        <f>HYPERLINK("https://www.compass.com/building/dahlia-manhattan-ny/282058919214351605/","Dahlia")</f>
        <v>Dahlia</v>
      </c>
      <c r="C1479" s="1" t="s">
        <v>47</v>
      </c>
      <c r="D1479" s="1" t="s">
        <v>41</v>
      </c>
      <c r="E1479" s="3">
        <v>6252094</v>
      </c>
      <c r="F1479" s="1">
        <v>2848.33428246013</v>
      </c>
      <c r="H1479" s="1">
        <v>3</v>
      </c>
      <c r="J1479" s="1">
        <v>3</v>
      </c>
      <c r="K1479" s="1">
        <v>3</v>
      </c>
      <c r="M1479" s="4">
        <v>2195</v>
      </c>
      <c r="N1479" s="1">
        <v>1</v>
      </c>
      <c r="O1479" s="1">
        <v>2</v>
      </c>
      <c r="P1479" s="1">
        <v>1</v>
      </c>
      <c r="Q1479" s="1" t="s">
        <v>42</v>
      </c>
      <c r="S1479" s="1" t="s">
        <v>42</v>
      </c>
      <c r="T1479" s="1" t="s">
        <v>203</v>
      </c>
      <c r="AA1479" s="1">
        <v>6252093.75</v>
      </c>
      <c r="AB1479" s="1" t="s">
        <v>1133</v>
      </c>
      <c r="AC1479" s="5">
        <v>44138</v>
      </c>
      <c r="AF1479" s="1">
        <v>10025</v>
      </c>
      <c r="AI1479" s="1" t="s">
        <v>52</v>
      </c>
      <c r="AJ1479" s="1">
        <v>2019</v>
      </c>
      <c r="AK1479" s="1" t="s">
        <v>55</v>
      </c>
      <c r="AL1479" s="1">
        <v>38</v>
      </c>
    </row>
    <row r="1480" spans="1:38" x14ac:dyDescent="0.2">
      <c r="A1480" s="2" t="str">
        <f>HYPERLINK("https://www.compass.com/listing/212-5th-avenue-unit-5a-manhattan-ny-10010/29374775205950353/","212 5th Ave, Unit 5A")</f>
        <v>212 5th Ave, Unit 5A</v>
      </c>
      <c r="B1480" s="2" t="str">
        <f t="shared" ref="B1480:B1512" si="267">HYPERLINK("https://www.compass.com/building/212-5th-ave-manhattan-ny-10010/281902136567020981/","212 5th Ave")</f>
        <v>212 5th Ave</v>
      </c>
      <c r="C1480" s="1" t="s">
        <v>95</v>
      </c>
      <c r="D1480" s="1" t="s">
        <v>41</v>
      </c>
      <c r="E1480" s="3">
        <v>10300000</v>
      </c>
      <c r="F1480" s="1">
        <v>3424.2021276595701</v>
      </c>
      <c r="G1480" s="1">
        <v>7</v>
      </c>
      <c r="H1480" s="1">
        <v>3</v>
      </c>
      <c r="I1480" s="1">
        <v>4</v>
      </c>
      <c r="J1480" s="1">
        <v>0.5</v>
      </c>
      <c r="L1480" s="1">
        <v>1</v>
      </c>
      <c r="M1480" s="4">
        <v>3008</v>
      </c>
      <c r="N1480" s="1">
        <v>3859</v>
      </c>
      <c r="O1480" s="1">
        <v>6622</v>
      </c>
      <c r="P1480" s="1">
        <v>2763</v>
      </c>
      <c r="Q1480" s="1" t="s">
        <v>42</v>
      </c>
      <c r="S1480" s="1" t="s">
        <v>42</v>
      </c>
      <c r="T1480" s="1" t="s">
        <v>203</v>
      </c>
      <c r="V1480" s="5">
        <v>43649</v>
      </c>
      <c r="W1480" s="5">
        <v>42984</v>
      </c>
      <c r="X1480" s="1">
        <v>10500000</v>
      </c>
      <c r="Y1480" s="1">
        <v>10500000</v>
      </c>
      <c r="Z1480" s="5">
        <v>42984</v>
      </c>
      <c r="AA1480" s="1">
        <v>10300000</v>
      </c>
      <c r="AB1480" s="1" t="s">
        <v>1134</v>
      </c>
      <c r="AC1480" s="5">
        <v>43027</v>
      </c>
      <c r="AF1480" s="1">
        <v>10010</v>
      </c>
      <c r="AJ1480" s="1">
        <v>1912</v>
      </c>
      <c r="AK1480" s="1" t="s">
        <v>81</v>
      </c>
      <c r="AL1480" s="1">
        <v>48</v>
      </c>
    </row>
    <row r="1481" spans="1:38" x14ac:dyDescent="0.2">
      <c r="A1481" s="2" t="str">
        <f>HYPERLINK("https://www.compass.com/listing/212-5th-avenue-unit-9a-manhattan-ny-10010/29374782176883793/","212 5th Ave, Unit 9A")</f>
        <v>212 5th Ave, Unit 9A</v>
      </c>
      <c r="B1481" s="2" t="str">
        <f t="shared" si="267"/>
        <v>212 5th Ave</v>
      </c>
      <c r="C1481" s="1" t="s">
        <v>95</v>
      </c>
      <c r="D1481" s="1" t="s">
        <v>41</v>
      </c>
      <c r="E1481" s="3">
        <v>11100000</v>
      </c>
      <c r="F1481" s="1">
        <v>3690.1595744680799</v>
      </c>
      <c r="G1481" s="1">
        <v>5</v>
      </c>
      <c r="H1481" s="1">
        <v>3</v>
      </c>
      <c r="I1481" s="1">
        <v>4</v>
      </c>
      <c r="J1481" s="1">
        <v>0.5</v>
      </c>
      <c r="L1481" s="1">
        <v>1</v>
      </c>
      <c r="M1481" s="4">
        <v>3008</v>
      </c>
      <c r="N1481" s="1">
        <v>4133</v>
      </c>
      <c r="O1481" s="1">
        <v>7093</v>
      </c>
      <c r="P1481" s="1">
        <v>2960</v>
      </c>
      <c r="Q1481" s="1" t="s">
        <v>42</v>
      </c>
      <c r="S1481" s="1" t="s">
        <v>42</v>
      </c>
      <c r="T1481" s="1" t="s">
        <v>203</v>
      </c>
      <c r="V1481" s="5">
        <v>43694</v>
      </c>
      <c r="W1481" s="5">
        <v>42880</v>
      </c>
      <c r="X1481" s="1">
        <v>11300000</v>
      </c>
      <c r="Y1481" s="1">
        <v>11300000</v>
      </c>
      <c r="Z1481" s="5">
        <v>42880</v>
      </c>
      <c r="AA1481" s="1">
        <v>11100000</v>
      </c>
      <c r="AB1481" s="1" t="s">
        <v>1135</v>
      </c>
      <c r="AC1481" s="5">
        <v>42929</v>
      </c>
      <c r="AF1481" s="1">
        <v>10010</v>
      </c>
      <c r="AJ1481" s="1">
        <v>1912</v>
      </c>
      <c r="AK1481" s="1" t="s">
        <v>81</v>
      </c>
      <c r="AL1481" s="1">
        <v>48</v>
      </c>
    </row>
    <row r="1482" spans="1:38" x14ac:dyDescent="0.2">
      <c r="A1482" s="2" t="str">
        <f>HYPERLINK("https://www.compass.com/listing/212-5th-avenue-unit-10a-manhattan-ny-10010/29374783267401601/","212 5th Ave, Unit 10A")</f>
        <v>212 5th Ave, Unit 10A</v>
      </c>
      <c r="B1482" s="2" t="str">
        <f t="shared" si="267"/>
        <v>212 5th Ave</v>
      </c>
      <c r="C1482" s="1" t="s">
        <v>95</v>
      </c>
      <c r="D1482" s="1" t="s">
        <v>41</v>
      </c>
      <c r="E1482" s="3">
        <v>11300000</v>
      </c>
      <c r="F1482" s="1">
        <v>3756.6489361702102</v>
      </c>
      <c r="G1482" s="1">
        <v>5</v>
      </c>
      <c r="H1482" s="1">
        <v>3</v>
      </c>
      <c r="I1482" s="1">
        <v>4</v>
      </c>
      <c r="J1482" s="1">
        <v>0.5</v>
      </c>
      <c r="L1482" s="1">
        <v>1</v>
      </c>
      <c r="M1482" s="4">
        <v>3008</v>
      </c>
      <c r="N1482" s="1">
        <v>4202</v>
      </c>
      <c r="O1482" s="1">
        <v>7211</v>
      </c>
      <c r="P1482" s="1">
        <v>3009</v>
      </c>
      <c r="Q1482" s="1" t="s">
        <v>42</v>
      </c>
      <c r="S1482" s="1" t="s">
        <v>42</v>
      </c>
      <c r="T1482" s="1" t="s">
        <v>203</v>
      </c>
      <c r="U1482" s="1">
        <v>6</v>
      </c>
      <c r="V1482" s="5">
        <v>43666</v>
      </c>
      <c r="W1482" s="5">
        <v>42816</v>
      </c>
      <c r="X1482" s="1">
        <v>11500000</v>
      </c>
      <c r="Y1482" s="1">
        <v>11500000</v>
      </c>
      <c r="Z1482" s="5">
        <v>42822</v>
      </c>
      <c r="AA1482" s="1">
        <v>11300000</v>
      </c>
      <c r="AB1482" s="1" t="s">
        <v>1136</v>
      </c>
      <c r="AC1482" s="5">
        <v>42852</v>
      </c>
      <c r="AF1482" s="1">
        <v>10010</v>
      </c>
      <c r="AJ1482" s="1">
        <v>1912</v>
      </c>
      <c r="AK1482" s="1" t="s">
        <v>81</v>
      </c>
      <c r="AL1482" s="1">
        <v>48</v>
      </c>
    </row>
    <row r="1483" spans="1:38" x14ac:dyDescent="0.2">
      <c r="A1483" s="2" t="str">
        <f>HYPERLINK("https://www.compass.com/listing/212-5th-avenue-unit-11a-manhattan-ny-10010/29374784391419825/","212 5th Ave, Unit 11A")</f>
        <v>212 5th Ave, Unit 11A</v>
      </c>
      <c r="B1483" s="2" t="str">
        <f t="shared" si="267"/>
        <v>212 5th Ave</v>
      </c>
      <c r="C1483" s="1" t="s">
        <v>95</v>
      </c>
      <c r="D1483" s="1" t="s">
        <v>41</v>
      </c>
      <c r="E1483" s="3">
        <v>11800000</v>
      </c>
      <c r="F1483" s="1">
        <v>3922.8723404255302</v>
      </c>
      <c r="G1483" s="1">
        <v>5</v>
      </c>
      <c r="H1483" s="1">
        <v>3</v>
      </c>
      <c r="I1483" s="1">
        <v>4</v>
      </c>
      <c r="J1483" s="1">
        <v>0.5</v>
      </c>
      <c r="L1483" s="1">
        <v>1</v>
      </c>
      <c r="M1483" s="4">
        <v>3008</v>
      </c>
      <c r="N1483" s="1">
        <v>4271</v>
      </c>
      <c r="O1483" s="1">
        <v>7329</v>
      </c>
      <c r="P1483" s="1">
        <v>3058</v>
      </c>
      <c r="Q1483" s="1" t="s">
        <v>42</v>
      </c>
      <c r="S1483" s="1" t="s">
        <v>42</v>
      </c>
      <c r="T1483" s="1" t="s">
        <v>203</v>
      </c>
      <c r="U1483" s="1">
        <v>119</v>
      </c>
      <c r="V1483" s="5">
        <v>43664</v>
      </c>
      <c r="W1483" s="5">
        <v>42781</v>
      </c>
      <c r="X1483" s="1">
        <v>11700000</v>
      </c>
      <c r="Y1483" s="1">
        <v>11700000</v>
      </c>
      <c r="Z1483" s="5">
        <v>42900</v>
      </c>
      <c r="AA1483" s="1">
        <v>11800000</v>
      </c>
      <c r="AB1483" s="1" t="s">
        <v>1131</v>
      </c>
      <c r="AC1483" s="5">
        <v>42900</v>
      </c>
      <c r="AF1483" s="1">
        <v>10010</v>
      </c>
      <c r="AJ1483" s="1">
        <v>1912</v>
      </c>
      <c r="AK1483" s="1" t="s">
        <v>81</v>
      </c>
      <c r="AL1483" s="1">
        <v>48</v>
      </c>
    </row>
    <row r="1484" spans="1:38" x14ac:dyDescent="0.2">
      <c r="A1484" s="2" t="str">
        <f>HYPERLINK("https://www.compass.com/listing/212-5th-avenue-unit-12a-manhattan-ny-10010/29374785448441009/","212 5th Ave, Unit 12A")</f>
        <v>212 5th Ave, Unit 12A</v>
      </c>
      <c r="B1484" s="2" t="str">
        <f t="shared" si="267"/>
        <v>212 5th Ave</v>
      </c>
      <c r="C1484" s="1" t="s">
        <v>95</v>
      </c>
      <c r="D1484" s="1" t="s">
        <v>41</v>
      </c>
      <c r="E1484" s="3">
        <v>11725000</v>
      </c>
      <c r="F1484" s="1">
        <v>3897.9388297872301</v>
      </c>
      <c r="G1484" s="1">
        <v>5</v>
      </c>
      <c r="H1484" s="1">
        <v>3</v>
      </c>
      <c r="I1484" s="1">
        <v>4</v>
      </c>
      <c r="J1484" s="1">
        <v>0.5</v>
      </c>
      <c r="L1484" s="1">
        <v>1</v>
      </c>
      <c r="M1484" s="4">
        <v>3008</v>
      </c>
      <c r="N1484" s="1">
        <v>4366</v>
      </c>
      <c r="O1484" s="1">
        <v>7430</v>
      </c>
      <c r="P1484" s="1">
        <v>3064</v>
      </c>
      <c r="Q1484" s="1" t="s">
        <v>42</v>
      </c>
      <c r="S1484" s="1" t="s">
        <v>42</v>
      </c>
      <c r="T1484" s="1" t="s">
        <v>203</v>
      </c>
      <c r="U1484" s="1">
        <v>193</v>
      </c>
      <c r="V1484" s="5">
        <v>43694</v>
      </c>
      <c r="W1484" s="5">
        <v>42836</v>
      </c>
      <c r="X1484" s="1">
        <v>11900000</v>
      </c>
      <c r="Y1484" s="1">
        <v>11900000</v>
      </c>
      <c r="Z1484" s="5">
        <v>43029</v>
      </c>
      <c r="AA1484" s="1">
        <v>11725000</v>
      </c>
      <c r="AB1484" s="1" t="s">
        <v>1137</v>
      </c>
      <c r="AC1484" s="5">
        <v>43054</v>
      </c>
      <c r="AF1484" s="1">
        <v>10010</v>
      </c>
      <c r="AJ1484" s="1">
        <v>1912</v>
      </c>
      <c r="AK1484" s="1" t="s">
        <v>81</v>
      </c>
      <c r="AL1484" s="1">
        <v>48</v>
      </c>
    </row>
    <row r="1485" spans="1:38" x14ac:dyDescent="0.2">
      <c r="A1485" s="2" t="str">
        <f>HYPERLINK("https://www.compass.com/listing/212-5th-avenue-unit-17b-manhattan-ny-10010/29374789953067025/","212 5th Ave, Unit 17B")</f>
        <v>212 5th Ave, Unit 17B</v>
      </c>
      <c r="B1485" s="2" t="str">
        <f t="shared" si="267"/>
        <v>212 5th Ave</v>
      </c>
      <c r="C1485" s="1" t="s">
        <v>95</v>
      </c>
      <c r="D1485" s="1" t="s">
        <v>41</v>
      </c>
      <c r="E1485" s="3">
        <v>9300000</v>
      </c>
      <c r="F1485" s="1">
        <v>3021.4424951267001</v>
      </c>
      <c r="G1485" s="1">
        <v>5</v>
      </c>
      <c r="H1485" s="1">
        <v>3</v>
      </c>
      <c r="I1485" s="1">
        <v>4</v>
      </c>
      <c r="J1485" s="1">
        <v>0.5</v>
      </c>
      <c r="L1485" s="1">
        <v>1</v>
      </c>
      <c r="M1485" s="4">
        <v>3078</v>
      </c>
      <c r="N1485" s="1">
        <v>3813</v>
      </c>
      <c r="O1485" s="1">
        <v>6489</v>
      </c>
      <c r="P1485" s="1">
        <v>2676</v>
      </c>
      <c r="Q1485" s="1" t="s">
        <v>42</v>
      </c>
      <c r="S1485" s="1" t="s">
        <v>42</v>
      </c>
      <c r="T1485" s="1" t="s">
        <v>203</v>
      </c>
      <c r="U1485" s="1">
        <v>315</v>
      </c>
      <c r="V1485" s="5">
        <v>43694</v>
      </c>
      <c r="W1485" s="5">
        <v>42781</v>
      </c>
      <c r="X1485" s="1">
        <v>9750000</v>
      </c>
      <c r="Y1485" s="1">
        <v>9750000</v>
      </c>
      <c r="Z1485" s="5">
        <v>43096</v>
      </c>
      <c r="AA1485" s="1">
        <v>9300000</v>
      </c>
      <c r="AB1485" s="1" t="s">
        <v>1138</v>
      </c>
      <c r="AC1485" s="5">
        <v>43118</v>
      </c>
      <c r="AF1485" s="1">
        <v>10010</v>
      </c>
      <c r="AJ1485" s="1">
        <v>1912</v>
      </c>
      <c r="AK1485" s="1" t="s">
        <v>81</v>
      </c>
      <c r="AL1485" s="1">
        <v>48</v>
      </c>
    </row>
    <row r="1486" spans="1:38" x14ac:dyDescent="0.2">
      <c r="A1486" s="2" t="str">
        <f>HYPERLINK("https://www.compass.com/listing/212-5th-avenue-unit-10a-manhattan-ny-10010/228107237879496001/","212 5th Ave, Unit 10A")</f>
        <v>212 5th Ave, Unit 10A</v>
      </c>
      <c r="B1486" s="2" t="str">
        <f t="shared" si="267"/>
        <v>212 5th Ave</v>
      </c>
      <c r="C1486" s="1" t="s">
        <v>95</v>
      </c>
      <c r="D1486" s="1" t="s">
        <v>41</v>
      </c>
      <c r="E1486" s="3">
        <v>9975000</v>
      </c>
      <c r="F1486" s="1">
        <v>3316.1569148936101</v>
      </c>
      <c r="G1486" s="1">
        <v>5</v>
      </c>
      <c r="H1486" s="1">
        <v>3</v>
      </c>
      <c r="I1486" s="1">
        <v>4</v>
      </c>
      <c r="J1486" s="1">
        <v>3.5</v>
      </c>
      <c r="K1486" s="1">
        <v>3</v>
      </c>
      <c r="L1486" s="1">
        <v>1</v>
      </c>
      <c r="M1486" s="4">
        <v>3008</v>
      </c>
      <c r="N1486" s="1">
        <v>4240</v>
      </c>
      <c r="O1486" s="1">
        <v>9402</v>
      </c>
      <c r="P1486" s="1">
        <v>5162</v>
      </c>
      <c r="Q1486" s="1" t="s">
        <v>42</v>
      </c>
      <c r="S1486" s="1" t="s">
        <v>42</v>
      </c>
      <c r="T1486" s="1" t="s">
        <v>203</v>
      </c>
      <c r="U1486" s="1">
        <v>235</v>
      </c>
      <c r="V1486" s="5">
        <v>44399</v>
      </c>
      <c r="W1486" s="5">
        <v>43567</v>
      </c>
      <c r="X1486" s="1">
        <v>11600000</v>
      </c>
      <c r="Y1486" s="1">
        <v>11600000</v>
      </c>
      <c r="Z1486" s="5">
        <v>43802</v>
      </c>
      <c r="AA1486" s="1">
        <v>9975000</v>
      </c>
      <c r="AB1486" s="1" t="s">
        <v>1139</v>
      </c>
      <c r="AC1486" s="5">
        <v>43865</v>
      </c>
      <c r="AF1486" s="1">
        <v>10010</v>
      </c>
      <c r="AJ1486" s="1">
        <v>1912</v>
      </c>
      <c r="AK1486" s="1" t="s">
        <v>81</v>
      </c>
      <c r="AL1486" s="1">
        <v>48</v>
      </c>
    </row>
    <row r="1487" spans="1:38" x14ac:dyDescent="0.2">
      <c r="A1487" s="2" t="str">
        <f>HYPERLINK("https://www.compass.com/listing/212-5th-avenue-unit-5a-manhattan-ny-10010/29374775214338977/","212 5th Ave, Unit 5A")</f>
        <v>212 5th Ave, Unit 5A</v>
      </c>
      <c r="B1487" s="2" t="str">
        <f t="shared" si="267"/>
        <v>212 5th Ave</v>
      </c>
      <c r="C1487" s="1" t="s">
        <v>95</v>
      </c>
      <c r="D1487" s="1" t="s">
        <v>41</v>
      </c>
      <c r="E1487" s="3">
        <v>10300000</v>
      </c>
      <c r="F1487" s="1">
        <v>3424.2021276595701</v>
      </c>
      <c r="G1487" s="1">
        <v>5</v>
      </c>
      <c r="H1487" s="1">
        <v>3</v>
      </c>
      <c r="I1487" s="1">
        <v>4</v>
      </c>
      <c r="J1487" s="1">
        <v>3.5</v>
      </c>
      <c r="M1487" s="4">
        <v>3008</v>
      </c>
      <c r="N1487" s="1">
        <v>3859</v>
      </c>
      <c r="O1487" s="1">
        <v>6622</v>
      </c>
      <c r="P1487" s="1">
        <v>2763</v>
      </c>
      <c r="Q1487" s="1" t="s">
        <v>42</v>
      </c>
      <c r="S1487" s="1" t="s">
        <v>42</v>
      </c>
      <c r="T1487" s="1" t="s">
        <v>203</v>
      </c>
      <c r="V1487" s="5">
        <v>43649</v>
      </c>
      <c r="W1487" s="5">
        <v>42984</v>
      </c>
      <c r="X1487" s="1">
        <v>10500000</v>
      </c>
      <c r="Y1487" s="1">
        <v>10500000</v>
      </c>
      <c r="Z1487" s="5">
        <v>42984</v>
      </c>
      <c r="AA1487" s="1">
        <v>10300000</v>
      </c>
      <c r="AB1487" s="1" t="s">
        <v>1134</v>
      </c>
      <c r="AC1487" s="5">
        <v>43027</v>
      </c>
      <c r="AF1487" s="1">
        <v>10010</v>
      </c>
      <c r="AJ1487" s="1">
        <v>1912</v>
      </c>
      <c r="AK1487" s="1" t="s">
        <v>50</v>
      </c>
      <c r="AL1487" s="1">
        <v>48</v>
      </c>
    </row>
    <row r="1488" spans="1:38" x14ac:dyDescent="0.2">
      <c r="A1488" s="2" t="str">
        <f>HYPERLINK("https://www.compass.com/listing/212-5th-avenue-unit-8b-manhattan-ny-10010/29374781010810737/","212 5th Ave, Unit 8B")</f>
        <v>212 5th Ave, Unit 8B</v>
      </c>
      <c r="B1488" s="2" t="str">
        <f t="shared" si="267"/>
        <v>212 5th Ave</v>
      </c>
      <c r="C1488" s="1" t="s">
        <v>95</v>
      </c>
      <c r="D1488" s="1" t="s">
        <v>41</v>
      </c>
      <c r="E1488" s="3">
        <v>6900000</v>
      </c>
      <c r="F1488" s="1">
        <v>2562.1982918678</v>
      </c>
      <c r="G1488" s="1">
        <v>5</v>
      </c>
      <c r="H1488" s="1">
        <v>3</v>
      </c>
      <c r="I1488" s="1">
        <v>4</v>
      </c>
      <c r="J1488" s="1">
        <v>3.5</v>
      </c>
      <c r="M1488" s="4">
        <v>2693</v>
      </c>
      <c r="N1488" s="1">
        <v>2957</v>
      </c>
      <c r="O1488" s="1">
        <v>5074</v>
      </c>
      <c r="P1488" s="1">
        <v>2117</v>
      </c>
      <c r="Q1488" s="1" t="s">
        <v>42</v>
      </c>
      <c r="S1488" s="1" t="s">
        <v>42</v>
      </c>
      <c r="T1488" s="1" t="s">
        <v>203</v>
      </c>
      <c r="U1488" s="1">
        <v>49</v>
      </c>
      <c r="V1488" s="5">
        <v>43153</v>
      </c>
      <c r="W1488" s="5">
        <v>42872</v>
      </c>
      <c r="X1488" s="1">
        <v>7000000</v>
      </c>
      <c r="Y1488" s="1">
        <v>7000000</v>
      </c>
      <c r="Z1488" s="5">
        <v>42922</v>
      </c>
      <c r="AA1488" s="1">
        <v>6900000</v>
      </c>
      <c r="AB1488" s="1" t="s">
        <v>1140</v>
      </c>
      <c r="AC1488" s="5">
        <v>42975</v>
      </c>
      <c r="AF1488" s="1">
        <v>10010</v>
      </c>
      <c r="AJ1488" s="1">
        <v>1912</v>
      </c>
      <c r="AK1488" s="1" t="s">
        <v>50</v>
      </c>
      <c r="AL1488" s="1">
        <v>48</v>
      </c>
    </row>
    <row r="1489" spans="1:38" x14ac:dyDescent="0.2">
      <c r="A1489" s="2" t="str">
        <f>HYPERLINK("https://www.compass.com/listing/212-5th-avenue-unit-10a-manhattan-ny-10010/29374783275790225/","212 5th Ave, Unit 10A")</f>
        <v>212 5th Ave, Unit 10A</v>
      </c>
      <c r="B1489" s="2" t="str">
        <f t="shared" si="267"/>
        <v>212 5th Ave</v>
      </c>
      <c r="C1489" s="1" t="s">
        <v>95</v>
      </c>
      <c r="D1489" s="1" t="s">
        <v>41</v>
      </c>
      <c r="E1489" s="3">
        <v>11300000</v>
      </c>
      <c r="F1489" s="1">
        <v>3756.6489361702102</v>
      </c>
      <c r="G1489" s="1">
        <v>5</v>
      </c>
      <c r="H1489" s="1">
        <v>3</v>
      </c>
      <c r="I1489" s="1">
        <v>4</v>
      </c>
      <c r="J1489" s="1">
        <v>3.5</v>
      </c>
      <c r="M1489" s="4">
        <v>3008</v>
      </c>
      <c r="N1489" s="1">
        <v>4202</v>
      </c>
      <c r="O1489" s="1">
        <v>7211</v>
      </c>
      <c r="P1489" s="1">
        <v>3009</v>
      </c>
      <c r="Q1489" s="1" t="s">
        <v>42</v>
      </c>
      <c r="S1489" s="1" t="s">
        <v>42</v>
      </c>
      <c r="T1489" s="1" t="s">
        <v>203</v>
      </c>
      <c r="U1489" s="1">
        <v>6</v>
      </c>
      <c r="V1489" s="5">
        <v>43666</v>
      </c>
      <c r="W1489" s="5">
        <v>42816</v>
      </c>
      <c r="X1489" s="1">
        <v>11500000</v>
      </c>
      <c r="Y1489" s="1">
        <v>11500000</v>
      </c>
      <c r="Z1489" s="5">
        <v>42822</v>
      </c>
      <c r="AA1489" s="1">
        <v>11300000</v>
      </c>
      <c r="AB1489" s="1" t="s">
        <v>1136</v>
      </c>
      <c r="AC1489" s="5">
        <v>42852</v>
      </c>
      <c r="AF1489" s="1">
        <v>10010</v>
      </c>
      <c r="AJ1489" s="1">
        <v>1912</v>
      </c>
      <c r="AK1489" s="1" t="s">
        <v>50</v>
      </c>
      <c r="AL1489" s="1">
        <v>48</v>
      </c>
    </row>
    <row r="1490" spans="1:38" x14ac:dyDescent="0.2">
      <c r="A1490" s="2" t="str">
        <f>HYPERLINK("https://www.compass.com/listing/212-5th-avenue-unit-12a-manhattan-ny-10010/29374785448441025/","212 5th Ave, Unit 12A")</f>
        <v>212 5th Ave, Unit 12A</v>
      </c>
      <c r="B1490" s="2" t="str">
        <f t="shared" si="267"/>
        <v>212 5th Ave</v>
      </c>
      <c r="C1490" s="1" t="s">
        <v>95</v>
      </c>
      <c r="D1490" s="1" t="s">
        <v>41</v>
      </c>
      <c r="E1490" s="3">
        <v>11725000</v>
      </c>
      <c r="F1490" s="1">
        <v>3897.9388297872301</v>
      </c>
      <c r="G1490" s="1">
        <v>5</v>
      </c>
      <c r="H1490" s="1">
        <v>3</v>
      </c>
      <c r="I1490" s="1">
        <v>4</v>
      </c>
      <c r="J1490" s="1">
        <v>3.5</v>
      </c>
      <c r="M1490" s="4">
        <v>3008</v>
      </c>
      <c r="N1490" s="1">
        <v>4366</v>
      </c>
      <c r="O1490" s="1">
        <v>7430</v>
      </c>
      <c r="P1490" s="1">
        <v>3064</v>
      </c>
      <c r="Q1490" s="1" t="s">
        <v>42</v>
      </c>
      <c r="S1490" s="1" t="s">
        <v>42</v>
      </c>
      <c r="T1490" s="1" t="s">
        <v>203</v>
      </c>
      <c r="U1490" s="1">
        <v>193</v>
      </c>
      <c r="V1490" s="5">
        <v>43649</v>
      </c>
      <c r="W1490" s="5">
        <v>42836</v>
      </c>
      <c r="X1490" s="1">
        <v>11900000</v>
      </c>
      <c r="Y1490" s="1">
        <v>11900000</v>
      </c>
      <c r="Z1490" s="5">
        <v>43029</v>
      </c>
      <c r="AA1490" s="1">
        <v>11725000</v>
      </c>
      <c r="AB1490" s="1" t="s">
        <v>1137</v>
      </c>
      <c r="AC1490" s="5">
        <v>43054</v>
      </c>
      <c r="AF1490" s="1">
        <v>10010</v>
      </c>
      <c r="AJ1490" s="1">
        <v>1912</v>
      </c>
      <c r="AK1490" s="1" t="s">
        <v>50</v>
      </c>
      <c r="AL1490" s="1">
        <v>48</v>
      </c>
    </row>
    <row r="1491" spans="1:38" x14ac:dyDescent="0.2">
      <c r="A1491" s="2" t="str">
        <f>HYPERLINK("https://www.compass.com/listing/212-5th-avenue-unit-14a-manhattan-ny-10010/29374786186581969/","212 5th Ave, Unit 14A")</f>
        <v>212 5th Ave, Unit 14A</v>
      </c>
      <c r="B1491" s="2" t="str">
        <f t="shared" si="267"/>
        <v>212 5th Ave</v>
      </c>
      <c r="C1491" s="1" t="s">
        <v>95</v>
      </c>
      <c r="D1491" s="1" t="s">
        <v>41</v>
      </c>
      <c r="E1491" s="3">
        <v>12000000</v>
      </c>
      <c r="F1491" s="1">
        <v>3988.0358923230301</v>
      </c>
      <c r="G1491" s="1">
        <v>5</v>
      </c>
      <c r="H1491" s="1">
        <v>3</v>
      </c>
      <c r="I1491" s="1">
        <v>4</v>
      </c>
      <c r="J1491" s="1">
        <v>3.5</v>
      </c>
      <c r="K1491" s="1">
        <v>3</v>
      </c>
      <c r="L1491" s="1">
        <v>1</v>
      </c>
      <c r="M1491" s="4">
        <v>3009</v>
      </c>
      <c r="N1491" s="1">
        <v>4435</v>
      </c>
      <c r="O1491" s="1">
        <v>7547</v>
      </c>
      <c r="P1491" s="1">
        <v>3112</v>
      </c>
      <c r="Q1491" s="1" t="s">
        <v>42</v>
      </c>
      <c r="S1491" s="1" t="s">
        <v>42</v>
      </c>
      <c r="T1491" s="1" t="s">
        <v>203</v>
      </c>
      <c r="U1491" s="1">
        <v>170</v>
      </c>
      <c r="V1491" s="5">
        <v>44399</v>
      </c>
      <c r="W1491" s="5">
        <v>43033</v>
      </c>
      <c r="X1491" s="1">
        <v>12100000</v>
      </c>
      <c r="Y1491" s="1">
        <v>12100000</v>
      </c>
      <c r="Z1491" s="5">
        <v>43203</v>
      </c>
      <c r="AA1491" s="1">
        <v>12000000</v>
      </c>
      <c r="AB1491" s="1" t="s">
        <v>1141</v>
      </c>
      <c r="AC1491" s="5">
        <v>43249</v>
      </c>
      <c r="AF1491" s="1">
        <v>10010</v>
      </c>
      <c r="AJ1491" s="1">
        <v>1912</v>
      </c>
      <c r="AK1491" s="1" t="s">
        <v>81</v>
      </c>
      <c r="AL1491" s="1">
        <v>48</v>
      </c>
    </row>
    <row r="1492" spans="1:38" x14ac:dyDescent="0.2">
      <c r="A1492" s="2" t="str">
        <f>HYPERLINK("https://www.compass.com/listing/212-5th-avenue-unit-17b-manhattan-ny-10010/29374789953067041/","212 5th Ave, Unit 17B")</f>
        <v>212 5th Ave, Unit 17B</v>
      </c>
      <c r="B1492" s="2" t="str">
        <f t="shared" si="267"/>
        <v>212 5th Ave</v>
      </c>
      <c r="C1492" s="1" t="s">
        <v>95</v>
      </c>
      <c r="D1492" s="1" t="s">
        <v>41</v>
      </c>
      <c r="E1492" s="3">
        <v>9300000</v>
      </c>
      <c r="F1492" s="1">
        <v>3021.4424951267001</v>
      </c>
      <c r="G1492" s="1">
        <v>5</v>
      </c>
      <c r="H1492" s="1">
        <v>3</v>
      </c>
      <c r="I1492" s="1">
        <v>4</v>
      </c>
      <c r="J1492" s="1">
        <v>3.5</v>
      </c>
      <c r="M1492" s="4">
        <v>3078</v>
      </c>
      <c r="N1492" s="1">
        <v>3813</v>
      </c>
      <c r="O1492" s="1">
        <v>6489</v>
      </c>
      <c r="P1492" s="1">
        <v>2676</v>
      </c>
      <c r="Q1492" s="1" t="s">
        <v>42</v>
      </c>
      <c r="S1492" s="1" t="s">
        <v>42</v>
      </c>
      <c r="T1492" s="1" t="s">
        <v>203</v>
      </c>
      <c r="U1492" s="1">
        <v>315</v>
      </c>
      <c r="V1492" s="5">
        <v>43649</v>
      </c>
      <c r="W1492" s="5">
        <v>42781</v>
      </c>
      <c r="X1492" s="1">
        <v>9750000</v>
      </c>
      <c r="Y1492" s="1">
        <v>9750000</v>
      </c>
      <c r="Z1492" s="5">
        <v>43096</v>
      </c>
      <c r="AA1492" s="1">
        <v>9300000</v>
      </c>
      <c r="AB1492" s="1" t="s">
        <v>1138</v>
      </c>
      <c r="AC1492" s="5">
        <v>43118</v>
      </c>
      <c r="AF1492" s="1">
        <v>10010</v>
      </c>
      <c r="AJ1492" s="1">
        <v>1912</v>
      </c>
      <c r="AK1492" s="1" t="s">
        <v>50</v>
      </c>
      <c r="AL1492" s="1">
        <v>48</v>
      </c>
    </row>
    <row r="1493" spans="1:38" x14ac:dyDescent="0.2">
      <c r="A1493" s="2" t="str">
        <f>HYPERLINK("https://www.compass.com/listing/212-5th-avenue-unit-20b-manhattan-ny-10010/29374791899279425/","212 5th Ave, Unit 20B")</f>
        <v>212 5th Ave, Unit 20B</v>
      </c>
      <c r="B1493" s="2" t="str">
        <f t="shared" si="267"/>
        <v>212 5th Ave</v>
      </c>
      <c r="C1493" s="1" t="s">
        <v>95</v>
      </c>
      <c r="D1493" s="1" t="s">
        <v>41</v>
      </c>
      <c r="E1493" s="3">
        <v>11250000</v>
      </c>
      <c r="F1493" s="1">
        <v>3654.9707602339099</v>
      </c>
      <c r="G1493" s="1">
        <v>5</v>
      </c>
      <c r="H1493" s="1">
        <v>3</v>
      </c>
      <c r="I1493" s="1">
        <v>4</v>
      </c>
      <c r="J1493" s="1">
        <v>3.5</v>
      </c>
      <c r="K1493" s="1">
        <v>3</v>
      </c>
      <c r="L1493" s="1">
        <v>1</v>
      </c>
      <c r="M1493" s="4">
        <v>3078</v>
      </c>
      <c r="N1493" s="1">
        <v>4759</v>
      </c>
      <c r="O1493" s="1">
        <v>8099</v>
      </c>
      <c r="P1493" s="1">
        <v>3340</v>
      </c>
      <c r="Q1493" s="1" t="s">
        <v>42</v>
      </c>
      <c r="S1493" s="1" t="s">
        <v>42</v>
      </c>
      <c r="T1493" s="1" t="s">
        <v>203</v>
      </c>
      <c r="V1493" s="5">
        <v>44399</v>
      </c>
      <c r="W1493" s="5">
        <v>43160</v>
      </c>
      <c r="X1493" s="1">
        <v>11250000</v>
      </c>
      <c r="Y1493" s="1">
        <v>11250000</v>
      </c>
      <c r="Z1493" s="5">
        <v>43160</v>
      </c>
      <c r="AA1493" s="1">
        <v>11250000</v>
      </c>
      <c r="AB1493" s="1" t="s">
        <v>1142</v>
      </c>
      <c r="AC1493" s="5">
        <v>43208</v>
      </c>
      <c r="AF1493" s="1">
        <v>10010</v>
      </c>
      <c r="AJ1493" s="1">
        <v>1912</v>
      </c>
      <c r="AK1493" s="1" t="s">
        <v>81</v>
      </c>
      <c r="AL1493" s="1">
        <v>48</v>
      </c>
    </row>
    <row r="1494" spans="1:38" x14ac:dyDescent="0.2">
      <c r="A1494" s="2" t="str">
        <f>HYPERLINK("https://www.compass.com/listing/212-5th-avenue-unit-8b-manhattan-ny-10010/803334588315396409/","212 5th Ave, Unit 8B")</f>
        <v>212 5th Ave, Unit 8B</v>
      </c>
      <c r="B1494" s="2" t="str">
        <f t="shared" si="267"/>
        <v>212 5th Ave</v>
      </c>
      <c r="C1494" s="1" t="s">
        <v>95</v>
      </c>
      <c r="D1494" s="1" t="s">
        <v>41</v>
      </c>
      <c r="E1494" s="3">
        <v>6900000</v>
      </c>
      <c r="F1494" s="1">
        <v>2562.1982918678</v>
      </c>
      <c r="G1494" s="1">
        <v>5</v>
      </c>
      <c r="H1494" s="1">
        <v>3</v>
      </c>
      <c r="I1494" s="1">
        <v>4</v>
      </c>
      <c r="J1494" s="1">
        <v>3.5</v>
      </c>
      <c r="K1494" s="1">
        <v>3</v>
      </c>
      <c r="L1494" s="1">
        <v>1</v>
      </c>
      <c r="M1494" s="4">
        <v>2693</v>
      </c>
      <c r="N1494" s="1">
        <v>2957</v>
      </c>
      <c r="O1494" s="1">
        <v>5074</v>
      </c>
      <c r="P1494" s="1">
        <v>2117</v>
      </c>
      <c r="Q1494" s="1" t="s">
        <v>42</v>
      </c>
      <c r="S1494" s="1" t="s">
        <v>42</v>
      </c>
      <c r="T1494" s="1" t="s">
        <v>203</v>
      </c>
      <c r="U1494" s="1">
        <v>103</v>
      </c>
      <c r="V1494" s="5">
        <v>44399</v>
      </c>
      <c r="W1494" s="5">
        <v>42872</v>
      </c>
      <c r="X1494" s="1">
        <v>7000000</v>
      </c>
      <c r="Y1494" s="1">
        <v>7000000</v>
      </c>
      <c r="AA1494" s="1">
        <v>6900000</v>
      </c>
      <c r="AB1494" s="1" t="s">
        <v>1140</v>
      </c>
      <c r="AC1494" s="5">
        <v>42975</v>
      </c>
      <c r="AF1494" s="1">
        <v>10010</v>
      </c>
      <c r="AJ1494" s="1">
        <v>1912</v>
      </c>
      <c r="AK1494" s="1" t="s">
        <v>81</v>
      </c>
      <c r="AL1494" s="1">
        <v>48</v>
      </c>
    </row>
    <row r="1495" spans="1:38" x14ac:dyDescent="0.2">
      <c r="A1495" s="2" t="str">
        <f>HYPERLINK("https://www.compass.com/listing/212-5th-avenue-unit-18b-manhattan-ny-10010/803337207523423305/","212 5th Ave, Unit 18B")</f>
        <v>212 5th Ave, Unit 18B</v>
      </c>
      <c r="B1495" s="2" t="str">
        <f t="shared" si="267"/>
        <v>212 5th Ave</v>
      </c>
      <c r="C1495" s="1" t="s">
        <v>95</v>
      </c>
      <c r="D1495" s="1" t="s">
        <v>41</v>
      </c>
      <c r="E1495" s="3">
        <v>9450000</v>
      </c>
      <c r="F1495" s="1">
        <v>3070.17543859649</v>
      </c>
      <c r="G1495" s="1">
        <v>5</v>
      </c>
      <c r="H1495" s="1">
        <v>3</v>
      </c>
      <c r="I1495" s="1">
        <v>4</v>
      </c>
      <c r="J1495" s="1">
        <v>3.5</v>
      </c>
      <c r="M1495" s="4">
        <v>3078</v>
      </c>
      <c r="N1495" s="1">
        <v>3854</v>
      </c>
      <c r="O1495" s="1">
        <v>6559</v>
      </c>
      <c r="P1495" s="1">
        <v>2705</v>
      </c>
      <c r="Q1495" s="1" t="s">
        <v>42</v>
      </c>
      <c r="S1495" s="1" t="s">
        <v>42</v>
      </c>
      <c r="T1495" s="1" t="s">
        <v>203</v>
      </c>
      <c r="V1495" s="5">
        <v>43153</v>
      </c>
      <c r="W1495" s="5">
        <v>43140</v>
      </c>
      <c r="X1495" s="1">
        <v>9950000</v>
      </c>
      <c r="Y1495" s="1">
        <v>9950000</v>
      </c>
      <c r="Z1495" s="5">
        <v>43141</v>
      </c>
      <c r="AA1495" s="1">
        <v>9450000</v>
      </c>
      <c r="AB1495" s="1" t="s">
        <v>1143</v>
      </c>
      <c r="AC1495" s="5">
        <v>43192</v>
      </c>
      <c r="AF1495" s="1">
        <v>10010</v>
      </c>
      <c r="AJ1495" s="1">
        <v>1912</v>
      </c>
      <c r="AK1495" s="1" t="s">
        <v>50</v>
      </c>
      <c r="AL1495" s="1">
        <v>48</v>
      </c>
    </row>
    <row r="1496" spans="1:38" x14ac:dyDescent="0.2">
      <c r="A1496" s="2" t="str">
        <f>HYPERLINK("https://www.compass.com/listing/212-5th-avenue-unit-14a-manhattan-ny-10010/803394603596200921/","212 5th Ave, Unit 14A")</f>
        <v>212 5th Ave, Unit 14A</v>
      </c>
      <c r="B1496" s="2" t="str">
        <f t="shared" si="267"/>
        <v>212 5th Ave</v>
      </c>
      <c r="C1496" s="1" t="s">
        <v>95</v>
      </c>
      <c r="D1496" s="1" t="s">
        <v>41</v>
      </c>
      <c r="E1496" s="3">
        <v>12000000</v>
      </c>
      <c r="F1496" s="1">
        <v>3988.0358923230301</v>
      </c>
      <c r="G1496" s="1">
        <v>5</v>
      </c>
      <c r="H1496" s="1">
        <v>3</v>
      </c>
      <c r="I1496" s="1">
        <v>4</v>
      </c>
      <c r="J1496" s="1">
        <v>3.5</v>
      </c>
      <c r="M1496" s="4">
        <v>3009</v>
      </c>
      <c r="N1496" s="1">
        <v>4435</v>
      </c>
      <c r="O1496" s="1">
        <v>7547</v>
      </c>
      <c r="P1496" s="1">
        <v>3112</v>
      </c>
      <c r="Q1496" s="1" t="s">
        <v>42</v>
      </c>
      <c r="S1496" s="1" t="s">
        <v>42</v>
      </c>
      <c r="T1496" s="1" t="s">
        <v>203</v>
      </c>
      <c r="U1496" s="1">
        <v>120</v>
      </c>
      <c r="V1496" s="5">
        <v>43153</v>
      </c>
      <c r="W1496" s="5">
        <v>43032</v>
      </c>
      <c r="X1496" s="1">
        <v>12100000</v>
      </c>
      <c r="Y1496" s="1">
        <v>12100000</v>
      </c>
      <c r="AA1496" s="1">
        <v>12000000</v>
      </c>
      <c r="AB1496" s="1" t="s">
        <v>1141</v>
      </c>
      <c r="AC1496" s="5">
        <v>43249</v>
      </c>
      <c r="AF1496" s="1">
        <v>10010</v>
      </c>
      <c r="AJ1496" s="1">
        <v>1912</v>
      </c>
      <c r="AK1496" s="1" t="s">
        <v>50</v>
      </c>
      <c r="AL1496" s="1">
        <v>48</v>
      </c>
    </row>
    <row r="1497" spans="1:38" x14ac:dyDescent="0.2">
      <c r="A1497" s="2" t="str">
        <f>HYPERLINK("https://www.compass.com/listing/212-5th-avenue-unit-8a-manhattan-ny-10010/801632080802985753/","212 5th Ave, Unit 8A")</f>
        <v>212 5th Ave, Unit 8A</v>
      </c>
      <c r="B1497" s="2" t="str">
        <f t="shared" si="267"/>
        <v>212 5th Ave</v>
      </c>
      <c r="C1497" s="1" t="s">
        <v>95</v>
      </c>
      <c r="D1497" s="1" t="s">
        <v>41</v>
      </c>
      <c r="E1497" s="3">
        <v>11000000</v>
      </c>
      <c r="F1497" s="1">
        <v>3656.91489361702</v>
      </c>
      <c r="G1497" s="1">
        <v>5</v>
      </c>
      <c r="H1497" s="1">
        <v>3</v>
      </c>
      <c r="I1497" s="1">
        <v>4</v>
      </c>
      <c r="J1497" s="1">
        <v>0.5</v>
      </c>
      <c r="L1497" s="1">
        <v>1</v>
      </c>
      <c r="M1497" s="4">
        <v>3008</v>
      </c>
      <c r="N1497" s="1">
        <v>4065</v>
      </c>
      <c r="O1497" s="1">
        <v>6975</v>
      </c>
      <c r="P1497" s="1">
        <v>2910</v>
      </c>
      <c r="Q1497" s="1" t="s">
        <v>42</v>
      </c>
      <c r="S1497" s="1" t="s">
        <v>42</v>
      </c>
      <c r="T1497" s="1" t="s">
        <v>203</v>
      </c>
      <c r="U1497" s="1">
        <v>68</v>
      </c>
      <c r="V1497" s="5">
        <v>43267</v>
      </c>
      <c r="W1497" s="5">
        <v>42780</v>
      </c>
      <c r="X1497" s="1">
        <v>11100000</v>
      </c>
      <c r="Y1497" s="1">
        <v>11100000</v>
      </c>
      <c r="AA1497" s="1">
        <v>11000000</v>
      </c>
      <c r="AB1497" s="1" t="s">
        <v>1144</v>
      </c>
      <c r="AC1497" s="5">
        <v>42849</v>
      </c>
      <c r="AF1497" s="1">
        <v>10010</v>
      </c>
      <c r="AJ1497" s="1">
        <v>1912</v>
      </c>
      <c r="AK1497" s="1" t="s">
        <v>81</v>
      </c>
      <c r="AL1497" s="1">
        <v>48</v>
      </c>
    </row>
    <row r="1498" spans="1:38" x14ac:dyDescent="0.2">
      <c r="A1498" s="2" t="str">
        <f>HYPERLINK("https://www.compass.com/listing/212-5th-avenue-unit-18a-manhattan-ny-10010/115926051619722497/","212 5th Ave, Unit 18A")</f>
        <v>212 5th Ave, Unit 18A</v>
      </c>
      <c r="B1498" s="2" t="str">
        <f t="shared" si="267"/>
        <v>212 5th Ave</v>
      </c>
      <c r="C1498" s="1" t="s">
        <v>95</v>
      </c>
      <c r="D1498" s="1" t="s">
        <v>41</v>
      </c>
      <c r="E1498" s="3">
        <v>16100000</v>
      </c>
      <c r="F1498" s="1">
        <v>3874.8495788206901</v>
      </c>
      <c r="G1498" s="1">
        <v>7</v>
      </c>
      <c r="H1498" s="1">
        <v>4</v>
      </c>
      <c r="I1498" s="1">
        <v>5</v>
      </c>
      <c r="J1498" s="1">
        <v>4.5</v>
      </c>
      <c r="K1498" s="1">
        <v>4</v>
      </c>
      <c r="L1498" s="1">
        <v>1</v>
      </c>
      <c r="M1498" s="4">
        <v>4155</v>
      </c>
      <c r="N1498" s="1">
        <v>6491</v>
      </c>
      <c r="O1498" s="1">
        <v>10720</v>
      </c>
      <c r="P1498" s="1">
        <v>4229</v>
      </c>
      <c r="Q1498" s="1" t="s">
        <v>42</v>
      </c>
      <c r="S1498" s="1" t="s">
        <v>42</v>
      </c>
      <c r="T1498" s="1" t="s">
        <v>203</v>
      </c>
      <c r="U1498" s="1">
        <v>196</v>
      </c>
      <c r="V1498" s="5">
        <v>44399</v>
      </c>
      <c r="W1498" s="5">
        <v>43412</v>
      </c>
      <c r="X1498" s="1">
        <v>16900000</v>
      </c>
      <c r="Y1498" s="1">
        <v>16900000</v>
      </c>
      <c r="Z1498" s="5">
        <v>43608</v>
      </c>
      <c r="AA1498" s="1">
        <v>16100000</v>
      </c>
      <c r="AB1498" s="1" t="s">
        <v>1145</v>
      </c>
      <c r="AC1498" s="5">
        <v>43630</v>
      </c>
      <c r="AF1498" s="1">
        <v>10010</v>
      </c>
      <c r="AJ1498" s="1">
        <v>1912</v>
      </c>
      <c r="AK1498" s="1" t="s">
        <v>81</v>
      </c>
      <c r="AL1498" s="1">
        <v>48</v>
      </c>
    </row>
    <row r="1499" spans="1:38" x14ac:dyDescent="0.2">
      <c r="A1499" s="2" t="str">
        <f>HYPERLINK("https://www.compass.com/listing/212-5th-avenue-unit-9b-manhattan-ny-10010/119519129244808769/","212 5th Ave, Unit 9B")</f>
        <v>212 5th Ave, Unit 9B</v>
      </c>
      <c r="B1499" s="2" t="str">
        <f t="shared" si="267"/>
        <v>212 5th Ave</v>
      </c>
      <c r="C1499" s="1" t="s">
        <v>95</v>
      </c>
      <c r="D1499" s="1" t="s">
        <v>41</v>
      </c>
      <c r="E1499" s="3">
        <v>6650000</v>
      </c>
      <c r="F1499" s="1">
        <v>2469.3650204233099</v>
      </c>
      <c r="G1499" s="1">
        <v>5</v>
      </c>
      <c r="H1499" s="1">
        <v>3</v>
      </c>
      <c r="I1499" s="1">
        <v>4</v>
      </c>
      <c r="J1499" s="1">
        <v>3.5</v>
      </c>
      <c r="K1499" s="1">
        <v>3</v>
      </c>
      <c r="L1499" s="1">
        <v>1</v>
      </c>
      <c r="M1499" s="4">
        <v>2693</v>
      </c>
      <c r="N1499" s="1">
        <v>3147</v>
      </c>
      <c r="O1499" s="1">
        <v>5203</v>
      </c>
      <c r="P1499" s="1">
        <v>2056</v>
      </c>
      <c r="Q1499" s="1" t="s">
        <v>42</v>
      </c>
      <c r="S1499" s="1" t="s">
        <v>42</v>
      </c>
      <c r="T1499" s="1" t="s">
        <v>203</v>
      </c>
      <c r="U1499" s="1">
        <v>446</v>
      </c>
      <c r="V1499" s="5">
        <v>44399</v>
      </c>
      <c r="W1499" s="5">
        <v>42965</v>
      </c>
      <c r="X1499" s="1">
        <v>7150000</v>
      </c>
      <c r="Y1499" s="1">
        <v>6750000</v>
      </c>
      <c r="Z1499" s="5">
        <v>43418</v>
      </c>
      <c r="AA1499" s="1">
        <v>6650000</v>
      </c>
      <c r="AB1499" s="1" t="s">
        <v>1146</v>
      </c>
      <c r="AC1499" s="5">
        <v>43495</v>
      </c>
      <c r="AF1499" s="1">
        <v>10010</v>
      </c>
      <c r="AJ1499" s="1">
        <v>1912</v>
      </c>
      <c r="AK1499" s="1" t="s">
        <v>81</v>
      </c>
      <c r="AL1499" s="1">
        <v>48</v>
      </c>
    </row>
    <row r="1500" spans="1:38" x14ac:dyDescent="0.2">
      <c r="A1500" s="2" t="str">
        <f>HYPERLINK("https://www.compass.com/listing/212-5th-avenue-unit-12b-manhattan-ny-10010/15258604777022337/","212 5th Ave, Unit 12B")</f>
        <v>212 5th Ave, Unit 12B</v>
      </c>
      <c r="B1500" s="2" t="str">
        <f t="shared" si="267"/>
        <v>212 5th Ave</v>
      </c>
      <c r="C1500" s="1" t="s">
        <v>95</v>
      </c>
      <c r="D1500" s="1" t="s">
        <v>41</v>
      </c>
      <c r="E1500" s="3">
        <v>7600000</v>
      </c>
      <c r="F1500" s="1">
        <v>2822.1314519123598</v>
      </c>
      <c r="G1500" s="1">
        <v>5</v>
      </c>
      <c r="H1500" s="1">
        <v>3</v>
      </c>
      <c r="I1500" s="1">
        <v>4</v>
      </c>
      <c r="J1500" s="1">
        <v>3.5</v>
      </c>
      <c r="K1500" s="1">
        <v>3</v>
      </c>
      <c r="L1500" s="1">
        <v>1</v>
      </c>
      <c r="M1500" s="4">
        <v>2693</v>
      </c>
      <c r="N1500" s="1">
        <v>3141</v>
      </c>
      <c r="O1500" s="1">
        <v>5345</v>
      </c>
      <c r="P1500" s="1">
        <v>2204</v>
      </c>
      <c r="Q1500" s="1" t="s">
        <v>42</v>
      </c>
      <c r="S1500" s="1" t="s">
        <v>42</v>
      </c>
      <c r="T1500" s="1" t="s">
        <v>203</v>
      </c>
      <c r="V1500" s="5">
        <v>44399</v>
      </c>
      <c r="W1500" s="5">
        <v>43209</v>
      </c>
      <c r="X1500" s="1">
        <v>7600000</v>
      </c>
      <c r="Y1500" s="1">
        <v>7600000</v>
      </c>
      <c r="Z1500" s="5">
        <v>43209</v>
      </c>
      <c r="AA1500" s="1">
        <v>7600000</v>
      </c>
      <c r="AB1500" s="1" t="s">
        <v>1147</v>
      </c>
      <c r="AC1500" s="5">
        <v>43264</v>
      </c>
      <c r="AF1500" s="1">
        <v>10010</v>
      </c>
      <c r="AJ1500" s="1">
        <v>1912</v>
      </c>
      <c r="AK1500" s="1" t="s">
        <v>81</v>
      </c>
      <c r="AL1500" s="1">
        <v>48</v>
      </c>
    </row>
    <row r="1501" spans="1:38" x14ac:dyDescent="0.2">
      <c r="A1501" s="2" t="str">
        <f>HYPERLINK("https://www.compass.com/listing/212-5th-avenue-unit-15aa-manhattan-ny-10010/164997621151276977/","212 5th Ave, Unit 15AA")</f>
        <v>212 5th Ave, Unit 15AA</v>
      </c>
      <c r="B1501" s="2" t="str">
        <f t="shared" si="267"/>
        <v>212 5th Ave</v>
      </c>
      <c r="C1501" s="1" t="s">
        <v>95</v>
      </c>
      <c r="D1501" s="1" t="s">
        <v>41</v>
      </c>
      <c r="E1501" s="3">
        <v>14300000</v>
      </c>
      <c r="F1501" s="1">
        <v>3441.6365824308</v>
      </c>
      <c r="G1501" s="1">
        <v>8</v>
      </c>
      <c r="H1501" s="1">
        <v>5</v>
      </c>
      <c r="I1501" s="1">
        <v>5</v>
      </c>
      <c r="J1501" s="1">
        <v>4.5</v>
      </c>
      <c r="K1501" s="1">
        <v>4</v>
      </c>
      <c r="L1501" s="1">
        <v>1</v>
      </c>
      <c r="M1501" s="4">
        <v>4155</v>
      </c>
      <c r="N1501" s="1">
        <v>6188</v>
      </c>
      <c r="O1501" s="1">
        <v>10221</v>
      </c>
      <c r="P1501" s="1">
        <v>4033</v>
      </c>
      <c r="Q1501" s="1" t="s">
        <v>42</v>
      </c>
      <c r="S1501" s="1" t="s">
        <v>42</v>
      </c>
      <c r="T1501" s="1" t="s">
        <v>203</v>
      </c>
      <c r="U1501" s="1">
        <v>78</v>
      </c>
      <c r="V1501" s="5">
        <v>44399</v>
      </c>
      <c r="W1501" s="5">
        <v>43480</v>
      </c>
      <c r="X1501" s="1">
        <v>14650000</v>
      </c>
      <c r="Y1501" s="1">
        <v>14650000</v>
      </c>
      <c r="Z1501" s="5">
        <v>43558</v>
      </c>
      <c r="AA1501" s="1">
        <v>14300000</v>
      </c>
      <c r="AB1501" s="1" t="s">
        <v>1148</v>
      </c>
      <c r="AC1501" s="5">
        <v>43586</v>
      </c>
      <c r="AF1501" s="1">
        <v>10010</v>
      </c>
      <c r="AJ1501" s="1">
        <v>1912</v>
      </c>
      <c r="AK1501" s="1" t="s">
        <v>81</v>
      </c>
      <c r="AL1501" s="1">
        <v>48</v>
      </c>
    </row>
    <row r="1502" spans="1:38" x14ac:dyDescent="0.2">
      <c r="A1502" s="2" t="str">
        <f>HYPERLINK("https://www.compass.com/listing/212-5th-avenue-unit-11b-manhattan-ny-10010/181863905956512209/","212 5th Ave, Unit 11B")</f>
        <v>212 5th Ave, Unit 11B</v>
      </c>
      <c r="B1502" s="2" t="str">
        <f t="shared" si="267"/>
        <v>212 5th Ave</v>
      </c>
      <c r="C1502" s="1" t="s">
        <v>95</v>
      </c>
      <c r="D1502" s="1" t="s">
        <v>41</v>
      </c>
      <c r="E1502" s="3">
        <v>6400000</v>
      </c>
      <c r="F1502" s="1">
        <v>2376.5317489788299</v>
      </c>
      <c r="G1502" s="1">
        <v>5</v>
      </c>
      <c r="H1502" s="1">
        <v>3</v>
      </c>
      <c r="I1502" s="1">
        <v>4</v>
      </c>
      <c r="J1502" s="1">
        <v>3.5</v>
      </c>
      <c r="K1502" s="1">
        <v>3</v>
      </c>
      <c r="L1502" s="1">
        <v>1</v>
      </c>
      <c r="M1502" s="4">
        <v>2693</v>
      </c>
      <c r="N1502" s="1">
        <v>3233</v>
      </c>
      <c r="O1502" s="1">
        <v>5344</v>
      </c>
      <c r="P1502" s="1">
        <v>2111</v>
      </c>
      <c r="Q1502" s="1" t="s">
        <v>42</v>
      </c>
      <c r="S1502" s="1" t="s">
        <v>42</v>
      </c>
      <c r="T1502" s="1" t="s">
        <v>203</v>
      </c>
      <c r="U1502" s="1">
        <v>106</v>
      </c>
      <c r="V1502" s="5">
        <v>44399</v>
      </c>
      <c r="W1502" s="5">
        <v>43503</v>
      </c>
      <c r="X1502" s="1">
        <v>7000000</v>
      </c>
      <c r="Y1502" s="1">
        <v>7000000</v>
      </c>
      <c r="Z1502" s="5">
        <v>43609</v>
      </c>
      <c r="AA1502" s="1">
        <v>6400000</v>
      </c>
      <c r="AB1502" s="1" t="s">
        <v>1149</v>
      </c>
      <c r="AC1502" s="5">
        <v>43640</v>
      </c>
      <c r="AF1502" s="1">
        <v>10010</v>
      </c>
      <c r="AJ1502" s="1">
        <v>1912</v>
      </c>
      <c r="AK1502" s="1" t="s">
        <v>81</v>
      </c>
      <c r="AL1502" s="1">
        <v>48</v>
      </c>
    </row>
    <row r="1503" spans="1:38" x14ac:dyDescent="0.2">
      <c r="A1503" s="2" t="str">
        <f>HYPERLINK("https://www.compass.com/listing/212-5th-avenue-unit-10b-manhattan-ny-10010/231098001614008129/","212 5th Ave, Unit 10B")</f>
        <v>212 5th Ave, Unit 10B</v>
      </c>
      <c r="B1503" s="2" t="str">
        <f t="shared" si="267"/>
        <v>212 5th Ave</v>
      </c>
      <c r="C1503" s="1" t="s">
        <v>95</v>
      </c>
      <c r="D1503" s="1" t="s">
        <v>41</v>
      </c>
      <c r="E1503" s="3">
        <v>6700000</v>
      </c>
      <c r="F1503" s="1">
        <v>2487.9316747122102</v>
      </c>
      <c r="G1503" s="1">
        <v>5</v>
      </c>
      <c r="H1503" s="1">
        <v>3</v>
      </c>
      <c r="I1503" s="1">
        <v>4</v>
      </c>
      <c r="J1503" s="1">
        <v>3.5</v>
      </c>
      <c r="K1503" s="1">
        <v>3</v>
      </c>
      <c r="L1503" s="1">
        <v>1</v>
      </c>
      <c r="M1503" s="4">
        <v>2693</v>
      </c>
      <c r="N1503" s="1">
        <v>3190</v>
      </c>
      <c r="O1503" s="1">
        <v>5274</v>
      </c>
      <c r="P1503" s="1">
        <v>2084</v>
      </c>
      <c r="Q1503" s="1" t="s">
        <v>42</v>
      </c>
      <c r="S1503" s="1" t="s">
        <v>42</v>
      </c>
      <c r="T1503" s="1" t="s">
        <v>203</v>
      </c>
      <c r="U1503" s="1">
        <v>160</v>
      </c>
      <c r="V1503" s="5">
        <v>44399</v>
      </c>
      <c r="W1503" s="5">
        <v>43411</v>
      </c>
      <c r="X1503" s="1">
        <v>6875000</v>
      </c>
      <c r="Y1503" s="1">
        <v>6875000</v>
      </c>
      <c r="Z1503" s="5">
        <v>43571</v>
      </c>
      <c r="AA1503" s="1">
        <v>6822275</v>
      </c>
      <c r="AB1503" s="1" t="s">
        <v>1150</v>
      </c>
      <c r="AC1503" s="5">
        <v>43644</v>
      </c>
      <c r="AF1503" s="1">
        <v>10010</v>
      </c>
      <c r="AJ1503" s="1">
        <v>1912</v>
      </c>
      <c r="AK1503" s="1" t="s">
        <v>81</v>
      </c>
      <c r="AL1503" s="1">
        <v>48</v>
      </c>
    </row>
    <row r="1504" spans="1:38" x14ac:dyDescent="0.2">
      <c r="A1504" s="2" t="str">
        <f>HYPERLINK("https://www.compass.com/listing/212-5th-avenue-unit-14b-manhattan-ny-10010/29374786765451233/","212 5th Ave, Unit 14B")</f>
        <v>212 5th Ave, Unit 14B</v>
      </c>
      <c r="B1504" s="2" t="str">
        <f t="shared" si="267"/>
        <v>212 5th Ave</v>
      </c>
      <c r="C1504" s="1" t="s">
        <v>95</v>
      </c>
      <c r="D1504" s="1" t="s">
        <v>41</v>
      </c>
      <c r="E1504" s="3">
        <v>7550000</v>
      </c>
      <c r="F1504" s="1">
        <v>2803.56479762346</v>
      </c>
      <c r="G1504" s="1">
        <v>5</v>
      </c>
      <c r="H1504" s="1">
        <v>3</v>
      </c>
      <c r="I1504" s="1">
        <v>4</v>
      </c>
      <c r="J1504" s="1">
        <v>3.5</v>
      </c>
      <c r="K1504" s="1">
        <v>3</v>
      </c>
      <c r="L1504" s="1">
        <v>1</v>
      </c>
      <c r="M1504" s="4">
        <v>2693</v>
      </c>
      <c r="N1504" s="1">
        <v>3182</v>
      </c>
      <c r="O1504" s="1">
        <v>5415</v>
      </c>
      <c r="P1504" s="1">
        <v>2233</v>
      </c>
      <c r="Q1504" s="1" t="s">
        <v>42</v>
      </c>
      <c r="S1504" s="1" t="s">
        <v>42</v>
      </c>
      <c r="T1504" s="1" t="s">
        <v>203</v>
      </c>
      <c r="V1504" s="5">
        <v>44399</v>
      </c>
      <c r="W1504" s="5">
        <v>43154</v>
      </c>
      <c r="X1504" s="1">
        <v>7750000</v>
      </c>
      <c r="Y1504" s="1">
        <v>7750000</v>
      </c>
      <c r="Z1504" s="5">
        <v>43154</v>
      </c>
      <c r="AA1504" s="1">
        <v>7550000</v>
      </c>
      <c r="AB1504" s="1" t="s">
        <v>1151</v>
      </c>
      <c r="AC1504" s="5">
        <v>43187</v>
      </c>
      <c r="AF1504" s="1">
        <v>10010</v>
      </c>
      <c r="AJ1504" s="1">
        <v>1912</v>
      </c>
      <c r="AK1504" s="1" t="s">
        <v>81</v>
      </c>
      <c r="AL1504" s="1">
        <v>48</v>
      </c>
    </row>
    <row r="1505" spans="1:38" x14ac:dyDescent="0.2">
      <c r="A1505" s="2" t="str">
        <f>HYPERLINK("https://www.compass.com/listing/212-5th-avenue-unit-20a-manhattan-ny-10010/29374791463016497/","212 5th Ave, Unit 20A")</f>
        <v>212 5th Ave, Unit 20A</v>
      </c>
      <c r="B1505" s="2" t="str">
        <f t="shared" si="267"/>
        <v>212 5th Ave</v>
      </c>
      <c r="C1505" s="1" t="s">
        <v>95</v>
      </c>
      <c r="D1505" s="1" t="s">
        <v>41</v>
      </c>
      <c r="E1505" s="3">
        <v>18100000</v>
      </c>
      <c r="F1505" s="1">
        <v>4356.1973525872399</v>
      </c>
      <c r="G1505" s="1">
        <v>6</v>
      </c>
      <c r="H1505" s="1">
        <v>4</v>
      </c>
      <c r="I1505" s="1">
        <v>5</v>
      </c>
      <c r="J1505" s="1">
        <v>4.5</v>
      </c>
      <c r="K1505" s="1">
        <v>4</v>
      </c>
      <c r="L1505" s="1">
        <v>1</v>
      </c>
      <c r="M1505" s="4">
        <v>4155</v>
      </c>
      <c r="N1505" s="1">
        <v>6921</v>
      </c>
      <c r="O1505" s="1">
        <v>11777</v>
      </c>
      <c r="P1505" s="1">
        <v>4856</v>
      </c>
      <c r="Q1505" s="1" t="s">
        <v>42</v>
      </c>
      <c r="S1505" s="1" t="s">
        <v>42</v>
      </c>
      <c r="T1505" s="1" t="s">
        <v>203</v>
      </c>
      <c r="U1505" s="1">
        <v>2</v>
      </c>
      <c r="V1505" s="5">
        <v>44399</v>
      </c>
      <c r="W1505" s="5">
        <v>43187</v>
      </c>
      <c r="X1505" s="1">
        <v>18100000</v>
      </c>
      <c r="Y1505" s="1">
        <v>18100000</v>
      </c>
      <c r="Z1505" s="5">
        <v>43189</v>
      </c>
      <c r="AA1505" s="1">
        <v>18100000</v>
      </c>
      <c r="AB1505" s="1" t="s">
        <v>1152</v>
      </c>
      <c r="AC1505" s="5">
        <v>43222</v>
      </c>
      <c r="AF1505" s="1">
        <v>10010</v>
      </c>
      <c r="AJ1505" s="1">
        <v>1912</v>
      </c>
      <c r="AK1505" s="1" t="s">
        <v>81</v>
      </c>
      <c r="AL1505" s="1">
        <v>48</v>
      </c>
    </row>
    <row r="1506" spans="1:38" x14ac:dyDescent="0.2">
      <c r="A1506" s="2" t="str">
        <f>HYPERLINK("https://www.compass.com/listing/212-5th-avenue-unit-9b-manhattan-ny-10010/29514350821671249/","212 5th Ave, Unit 9B")</f>
        <v>212 5th Ave, Unit 9B</v>
      </c>
      <c r="B1506" s="2" t="str">
        <f t="shared" si="267"/>
        <v>212 5th Ave</v>
      </c>
      <c r="C1506" s="1" t="s">
        <v>95</v>
      </c>
      <c r="D1506" s="1" t="s">
        <v>41</v>
      </c>
      <c r="E1506" s="3">
        <v>6650000</v>
      </c>
      <c r="F1506" s="1">
        <v>2469.3650204233099</v>
      </c>
      <c r="G1506" s="1">
        <v>5</v>
      </c>
      <c r="H1506" s="1">
        <v>3</v>
      </c>
      <c r="I1506" s="1">
        <v>4</v>
      </c>
      <c r="J1506" s="1">
        <v>3.5</v>
      </c>
      <c r="K1506" s="1">
        <v>3</v>
      </c>
      <c r="L1506" s="1">
        <v>1</v>
      </c>
      <c r="M1506" s="4">
        <v>2693</v>
      </c>
      <c r="N1506" s="1">
        <v>3025</v>
      </c>
      <c r="O1506" s="1">
        <v>5141</v>
      </c>
      <c r="P1506" s="1">
        <v>2116</v>
      </c>
      <c r="Q1506" s="1" t="s">
        <v>42</v>
      </c>
      <c r="S1506" s="1" t="s">
        <v>42</v>
      </c>
      <c r="T1506" s="1" t="s">
        <v>203</v>
      </c>
      <c r="U1506" s="1">
        <v>446</v>
      </c>
      <c r="V1506" s="5">
        <v>44399</v>
      </c>
      <c r="W1506" s="5">
        <v>42964</v>
      </c>
      <c r="X1506" s="1">
        <v>7150000</v>
      </c>
      <c r="Y1506" s="1">
        <v>6950000</v>
      </c>
      <c r="AA1506" s="1">
        <v>6650000</v>
      </c>
      <c r="AB1506" s="1" t="s">
        <v>1146</v>
      </c>
      <c r="AC1506" s="5">
        <v>43495</v>
      </c>
      <c r="AF1506" s="1">
        <v>10010</v>
      </c>
      <c r="AJ1506" s="1">
        <v>1912</v>
      </c>
      <c r="AK1506" s="1" t="s">
        <v>81</v>
      </c>
      <c r="AL1506" s="1">
        <v>48</v>
      </c>
    </row>
    <row r="1507" spans="1:38" x14ac:dyDescent="0.2">
      <c r="A1507" s="2" t="str">
        <f>HYPERLINK("https://www.compass.com/listing/212-5th-avenue-unit-19ab-manhattan-ny-10010/79572286369231169/","212 5th Ave, Unit 19AB")</f>
        <v>212 5th Ave, Unit 19AB</v>
      </c>
      <c r="B1507" s="2" t="str">
        <f t="shared" si="267"/>
        <v>212 5th Ave</v>
      </c>
      <c r="C1507" s="1" t="s">
        <v>95</v>
      </c>
      <c r="D1507" s="1" t="s">
        <v>41</v>
      </c>
      <c r="E1507" s="3">
        <v>28225000</v>
      </c>
      <c r="F1507" s="1">
        <v>6902.6656884323702</v>
      </c>
      <c r="G1507" s="1">
        <v>14</v>
      </c>
      <c r="H1507" s="1">
        <v>7</v>
      </c>
      <c r="I1507" s="1">
        <v>7.5</v>
      </c>
      <c r="J1507" s="1">
        <v>7.5</v>
      </c>
      <c r="M1507" s="4">
        <v>4089</v>
      </c>
      <c r="N1507" s="1">
        <v>9526</v>
      </c>
      <c r="O1507" s="1">
        <v>20161</v>
      </c>
      <c r="P1507" s="1">
        <v>10635</v>
      </c>
      <c r="Q1507" s="1" t="s">
        <v>42</v>
      </c>
      <c r="S1507" s="1" t="s">
        <v>42</v>
      </c>
      <c r="T1507" s="1" t="s">
        <v>203</v>
      </c>
      <c r="V1507" s="5">
        <v>42913</v>
      </c>
      <c r="AA1507" s="1">
        <v>28225000</v>
      </c>
      <c r="AB1507" s="1" t="s">
        <v>204</v>
      </c>
      <c r="AC1507" s="5">
        <v>42909</v>
      </c>
      <c r="AF1507" s="1">
        <v>10010</v>
      </c>
      <c r="AJ1507" s="1">
        <v>1912</v>
      </c>
      <c r="AK1507" s="1" t="s">
        <v>81</v>
      </c>
      <c r="AL1507" s="1">
        <v>48</v>
      </c>
    </row>
    <row r="1508" spans="1:38" x14ac:dyDescent="0.2">
      <c r="A1508" s="2" t="str">
        <f>HYPERLINK("https://www.compass.com/listing/212-5th-avenue-unit-8a-manhattan-ny-10010/801632080802985745/","212 5th Ave, Unit 8A")</f>
        <v>212 5th Ave, Unit 8A</v>
      </c>
      <c r="B1508" s="2" t="str">
        <f t="shared" si="267"/>
        <v>212 5th Ave</v>
      </c>
      <c r="C1508" s="1" t="s">
        <v>95</v>
      </c>
      <c r="D1508" s="1" t="s">
        <v>41</v>
      </c>
      <c r="E1508" s="3">
        <v>11000000</v>
      </c>
      <c r="F1508" s="1">
        <v>3656.91489361702</v>
      </c>
      <c r="G1508" s="1">
        <v>5</v>
      </c>
      <c r="H1508" s="1">
        <v>3</v>
      </c>
      <c r="I1508" s="1">
        <v>4</v>
      </c>
      <c r="J1508" s="1">
        <v>3.5</v>
      </c>
      <c r="M1508" s="4">
        <v>3008</v>
      </c>
      <c r="N1508" s="1">
        <v>4065</v>
      </c>
      <c r="O1508" s="1">
        <v>6975</v>
      </c>
      <c r="P1508" s="1">
        <v>2910</v>
      </c>
      <c r="Q1508" s="1" t="s">
        <v>42</v>
      </c>
      <c r="S1508" s="1" t="s">
        <v>42</v>
      </c>
      <c r="T1508" s="1" t="s">
        <v>203</v>
      </c>
      <c r="U1508" s="1">
        <v>52</v>
      </c>
      <c r="V1508" s="5">
        <v>42851</v>
      </c>
      <c r="W1508" s="5">
        <v>42780</v>
      </c>
      <c r="X1508" s="1">
        <v>11100000</v>
      </c>
      <c r="Y1508" s="1">
        <v>11100000</v>
      </c>
      <c r="Z1508" s="5">
        <v>42833</v>
      </c>
      <c r="AA1508" s="1">
        <v>11000000</v>
      </c>
      <c r="AB1508" s="1" t="s">
        <v>1144</v>
      </c>
      <c r="AC1508" s="5">
        <v>42849</v>
      </c>
      <c r="AF1508" s="1">
        <v>10010</v>
      </c>
      <c r="AJ1508" s="1">
        <v>1912</v>
      </c>
      <c r="AK1508" s="1" t="s">
        <v>50</v>
      </c>
      <c r="AL1508" s="1">
        <v>48</v>
      </c>
    </row>
    <row r="1509" spans="1:38" x14ac:dyDescent="0.2">
      <c r="A1509" s="2" t="str">
        <f>HYPERLINK("https://www.compass.com/listing/212-5th-avenue-unit-21b-manhattan-ny-10010/141292966038750705/","212 5th Ave, Unit 21B")</f>
        <v>212 5th Ave, Unit 21B</v>
      </c>
      <c r="B1509" s="2" t="str">
        <f t="shared" si="267"/>
        <v>212 5th Ave</v>
      </c>
      <c r="C1509" s="1" t="s">
        <v>95</v>
      </c>
      <c r="D1509" s="1" t="s">
        <v>41</v>
      </c>
      <c r="E1509" s="3">
        <v>28450000</v>
      </c>
      <c r="F1509" s="1">
        <v>9225.0324254215302</v>
      </c>
      <c r="G1509" s="1">
        <v>5</v>
      </c>
      <c r="H1509" s="1">
        <v>3</v>
      </c>
      <c r="I1509" s="1">
        <v>4</v>
      </c>
      <c r="J1509" s="1">
        <v>3.5</v>
      </c>
      <c r="K1509" s="1">
        <v>3</v>
      </c>
      <c r="L1509" s="1">
        <v>1</v>
      </c>
      <c r="M1509" s="4">
        <v>3084</v>
      </c>
      <c r="N1509" s="1">
        <v>5036</v>
      </c>
      <c r="O1509" s="1">
        <v>8308</v>
      </c>
      <c r="P1509" s="1">
        <v>3272</v>
      </c>
      <c r="Q1509" s="1" t="s">
        <v>42</v>
      </c>
      <c r="S1509" s="1" t="s">
        <v>42</v>
      </c>
      <c r="T1509" s="1" t="s">
        <v>203</v>
      </c>
      <c r="U1509" s="1">
        <v>147</v>
      </c>
      <c r="V1509" s="5">
        <v>44399</v>
      </c>
      <c r="W1509" s="5">
        <v>43447</v>
      </c>
      <c r="X1509" s="1">
        <v>11300000</v>
      </c>
      <c r="Y1509" s="1">
        <v>11300000</v>
      </c>
      <c r="Z1509" s="5">
        <v>43594</v>
      </c>
      <c r="AA1509" s="1">
        <v>28450000</v>
      </c>
      <c r="AB1509" s="1" t="s">
        <v>204</v>
      </c>
      <c r="AC1509" s="5">
        <v>43600</v>
      </c>
      <c r="AF1509" s="1">
        <v>10010</v>
      </c>
      <c r="AJ1509" s="1">
        <v>1912</v>
      </c>
      <c r="AK1509" s="1" t="s">
        <v>81</v>
      </c>
      <c r="AL1509" s="1">
        <v>48</v>
      </c>
    </row>
    <row r="1510" spans="1:38" x14ac:dyDescent="0.2">
      <c r="A1510" s="2" t="str">
        <f>HYPERLINK("https://www.compass.com/listing/212-5th-avenue-unit-9a-manhattan-ny-10010/29374782176883809/","212 5th Ave, Unit 9A")</f>
        <v>212 5th Ave, Unit 9A</v>
      </c>
      <c r="B1510" s="2" t="str">
        <f t="shared" si="267"/>
        <v>212 5th Ave</v>
      </c>
      <c r="C1510" s="1" t="s">
        <v>95</v>
      </c>
      <c r="D1510" s="1" t="s">
        <v>41</v>
      </c>
      <c r="E1510" s="3">
        <v>11100000</v>
      </c>
      <c r="F1510" s="1">
        <v>3690.1595744680799</v>
      </c>
      <c r="G1510" s="1">
        <v>5</v>
      </c>
      <c r="H1510" s="1">
        <v>3</v>
      </c>
      <c r="I1510" s="1">
        <v>4</v>
      </c>
      <c r="J1510" s="1">
        <v>3.5</v>
      </c>
      <c r="M1510" s="4">
        <v>3008</v>
      </c>
      <c r="N1510" s="1">
        <v>4133</v>
      </c>
      <c r="O1510" s="1">
        <v>7093</v>
      </c>
      <c r="P1510" s="1">
        <v>2960</v>
      </c>
      <c r="Q1510" s="1" t="s">
        <v>42</v>
      </c>
      <c r="S1510" s="1" t="s">
        <v>42</v>
      </c>
      <c r="T1510" s="1" t="s">
        <v>203</v>
      </c>
      <c r="V1510" s="5">
        <v>43694</v>
      </c>
      <c r="W1510" s="5">
        <v>42880</v>
      </c>
      <c r="X1510" s="1">
        <v>11300000</v>
      </c>
      <c r="Y1510" s="1">
        <v>11300000</v>
      </c>
      <c r="Z1510" s="5">
        <v>42880</v>
      </c>
      <c r="AA1510" s="1">
        <v>11100000</v>
      </c>
      <c r="AB1510" s="1" t="s">
        <v>1135</v>
      </c>
      <c r="AC1510" s="5">
        <v>42929</v>
      </c>
      <c r="AF1510" s="1">
        <v>10010</v>
      </c>
      <c r="AJ1510" s="1">
        <v>1912</v>
      </c>
      <c r="AK1510" s="1" t="s">
        <v>50</v>
      </c>
      <c r="AL1510" s="1">
        <v>48</v>
      </c>
    </row>
    <row r="1511" spans="1:38" x14ac:dyDescent="0.2">
      <c r="A1511" s="2" t="str">
        <f>HYPERLINK("https://www.compass.com/listing/212-5th-avenue-unit-18b-manhattan-ny-10010/29514348959442081/","212 5th Ave, Unit 18B")</f>
        <v>212 5th Ave, Unit 18B</v>
      </c>
      <c r="B1511" s="2" t="str">
        <f t="shared" si="267"/>
        <v>212 5th Ave</v>
      </c>
      <c r="C1511" s="1" t="s">
        <v>95</v>
      </c>
      <c r="D1511" s="1" t="s">
        <v>41</v>
      </c>
      <c r="E1511" s="3">
        <v>9450000</v>
      </c>
      <c r="F1511" s="1">
        <v>3070.17543859649</v>
      </c>
      <c r="G1511" s="1">
        <v>5</v>
      </c>
      <c r="H1511" s="1">
        <v>3</v>
      </c>
      <c r="I1511" s="1">
        <v>4</v>
      </c>
      <c r="J1511" s="1">
        <v>3.5</v>
      </c>
      <c r="K1511" s="1">
        <v>3</v>
      </c>
      <c r="L1511" s="1">
        <v>1</v>
      </c>
      <c r="M1511" s="4">
        <v>3078</v>
      </c>
      <c r="N1511" s="1">
        <v>3854</v>
      </c>
      <c r="O1511" s="1">
        <v>6559</v>
      </c>
      <c r="P1511" s="1">
        <v>2705</v>
      </c>
      <c r="Q1511" s="1" t="s">
        <v>42</v>
      </c>
      <c r="S1511" s="1" t="s">
        <v>42</v>
      </c>
      <c r="T1511" s="1" t="s">
        <v>203</v>
      </c>
      <c r="V1511" s="5">
        <v>44399</v>
      </c>
      <c r="W1511" s="5">
        <v>43141</v>
      </c>
      <c r="X1511" s="1">
        <v>9950000</v>
      </c>
      <c r="Y1511" s="1">
        <v>9950000</v>
      </c>
      <c r="Z1511" s="5">
        <v>43141</v>
      </c>
      <c r="AA1511" s="1">
        <v>9450000</v>
      </c>
      <c r="AB1511" s="1" t="s">
        <v>1143</v>
      </c>
      <c r="AC1511" s="5">
        <v>43192</v>
      </c>
      <c r="AF1511" s="1">
        <v>10010</v>
      </c>
      <c r="AJ1511" s="1">
        <v>1912</v>
      </c>
      <c r="AK1511" s="1" t="s">
        <v>81</v>
      </c>
      <c r="AL1511" s="1">
        <v>48</v>
      </c>
    </row>
    <row r="1512" spans="1:38" x14ac:dyDescent="0.2">
      <c r="A1512" s="2" t="str">
        <f>HYPERLINK("https://www.compass.com/listing/212-5th-avenue-unit-ph-manhattan-ny-10010/29514349370538513/","212 5th Ave, Unit PH")</f>
        <v>212 5th Ave, Unit PH</v>
      </c>
      <c r="B1512" s="2" t="str">
        <f t="shared" si="267"/>
        <v>212 5th Ave</v>
      </c>
      <c r="C1512" s="1" t="s">
        <v>95</v>
      </c>
      <c r="D1512" s="1" t="s">
        <v>41</v>
      </c>
      <c r="E1512" s="3">
        <v>51550000</v>
      </c>
      <c r="F1512" s="1">
        <v>5114.5947018553397</v>
      </c>
      <c r="G1512" s="1">
        <v>10</v>
      </c>
      <c r="H1512" s="1">
        <v>5</v>
      </c>
      <c r="I1512" s="1">
        <v>5</v>
      </c>
      <c r="J1512" s="1">
        <v>5</v>
      </c>
      <c r="K1512" s="1">
        <v>5</v>
      </c>
      <c r="M1512" s="4">
        <v>10079</v>
      </c>
      <c r="N1512" s="1">
        <v>22430</v>
      </c>
      <c r="O1512" s="1">
        <v>37001</v>
      </c>
      <c r="P1512" s="1">
        <v>14571</v>
      </c>
      <c r="Q1512" s="1" t="s">
        <v>42</v>
      </c>
      <c r="S1512" s="1" t="s">
        <v>42</v>
      </c>
      <c r="T1512" s="1" t="s">
        <v>203</v>
      </c>
      <c r="U1512" s="1">
        <v>543</v>
      </c>
      <c r="V1512" s="5">
        <v>44399</v>
      </c>
      <c r="W1512" s="5">
        <v>43055</v>
      </c>
      <c r="X1512" s="1">
        <v>73800000</v>
      </c>
      <c r="Y1512" s="1">
        <v>58000000</v>
      </c>
      <c r="Z1512" s="5">
        <v>43598</v>
      </c>
      <c r="AA1512" s="1">
        <v>51550000</v>
      </c>
      <c r="AB1512" s="1" t="s">
        <v>1153</v>
      </c>
      <c r="AC1512" s="5">
        <v>43620</v>
      </c>
      <c r="AF1512" s="1">
        <v>10010</v>
      </c>
      <c r="AI1512" s="1" t="s">
        <v>1154</v>
      </c>
      <c r="AJ1512" s="1">
        <v>1912</v>
      </c>
      <c r="AK1512" s="1" t="s">
        <v>81</v>
      </c>
      <c r="AL1512" s="1">
        <v>48</v>
      </c>
    </row>
    <row r="1513" spans="1:38" x14ac:dyDescent="0.2">
      <c r="A1513" s="2" t="str">
        <f>HYPERLINK("https://www.compass.com/listing/91-leonard-street-unit-14c-manhattan-ny-10013/841570470252044761/","91 Leonard St, Unit 14C")</f>
        <v>91 Leonard St, Unit 14C</v>
      </c>
      <c r="B1513" s="2" t="str">
        <f>HYPERLINK("https://www.compass.com/building/91-leonard-manhattan-ny/282058661633754165/","91 Leonard")</f>
        <v>91 Leonard</v>
      </c>
      <c r="C1513" s="1" t="s">
        <v>40</v>
      </c>
      <c r="D1513" s="1" t="s">
        <v>41</v>
      </c>
      <c r="E1513" s="3">
        <v>975000</v>
      </c>
      <c r="F1513" s="1">
        <v>2039.7489539748899</v>
      </c>
      <c r="G1513" s="1">
        <v>2</v>
      </c>
      <c r="H1513" s="1" t="s">
        <v>77</v>
      </c>
      <c r="J1513" s="1">
        <v>1</v>
      </c>
      <c r="K1513" s="1">
        <v>1</v>
      </c>
      <c r="M1513" s="1">
        <v>478</v>
      </c>
      <c r="N1513" s="1">
        <v>575</v>
      </c>
      <c r="O1513" s="1">
        <v>1453</v>
      </c>
      <c r="P1513" s="1">
        <v>878</v>
      </c>
      <c r="S1513" s="1" t="s">
        <v>42</v>
      </c>
      <c r="T1513" s="1" t="s">
        <v>203</v>
      </c>
      <c r="U1513" s="1">
        <v>800</v>
      </c>
      <c r="V1513" s="5">
        <v>44415</v>
      </c>
      <c r="W1513" s="5">
        <v>43314</v>
      </c>
      <c r="X1513" s="1">
        <v>995000</v>
      </c>
      <c r="Y1513" s="1">
        <v>975000</v>
      </c>
      <c r="AA1513" s="1">
        <v>975000</v>
      </c>
      <c r="AB1513" s="1" t="s">
        <v>204</v>
      </c>
      <c r="AC1513" s="5">
        <v>44208</v>
      </c>
      <c r="AF1513" s="1">
        <v>10013</v>
      </c>
      <c r="AI1513" s="1" t="s">
        <v>45</v>
      </c>
      <c r="AJ1513" s="1">
        <v>2016</v>
      </c>
      <c r="AK1513" s="1" t="s">
        <v>46</v>
      </c>
      <c r="AL1513" s="1">
        <v>111</v>
      </c>
    </row>
    <row r="1514" spans="1:38" x14ac:dyDescent="0.2">
      <c r="A1514" s="2" t="str">
        <f>HYPERLINK("https://www.compass.com/listing/212-5th-avenue-unit-21a-manhattan-ny-10010/183177780937174049/","212 5th Ave, Unit 21A")</f>
        <v>212 5th Ave, Unit 21A</v>
      </c>
      <c r="B1514" s="2" t="str">
        <f t="shared" ref="B1514:B1516" si="268">HYPERLINK("https://www.compass.com/building/212-5th-ave-manhattan-ny-10010/281902136567020981/","212 5th Ave")</f>
        <v>212 5th Ave</v>
      </c>
      <c r="C1514" s="1" t="s">
        <v>95</v>
      </c>
      <c r="D1514" s="1" t="s">
        <v>41</v>
      </c>
      <c r="E1514" s="3">
        <v>28450000</v>
      </c>
      <c r="F1514" s="1">
        <v>6847.1720818291196</v>
      </c>
      <c r="G1514" s="1">
        <v>7</v>
      </c>
      <c r="H1514" s="1">
        <v>4</v>
      </c>
      <c r="I1514" s="1">
        <v>5</v>
      </c>
      <c r="J1514" s="1">
        <v>4.5</v>
      </c>
      <c r="K1514" s="1">
        <v>4</v>
      </c>
      <c r="L1514" s="1">
        <v>1</v>
      </c>
      <c r="M1514" s="4">
        <v>4155</v>
      </c>
      <c r="N1514" s="1">
        <v>7309</v>
      </c>
      <c r="O1514" s="1">
        <v>12057</v>
      </c>
      <c r="P1514" s="1">
        <v>4748</v>
      </c>
      <c r="Q1514" s="1" t="s">
        <v>42</v>
      </c>
      <c r="S1514" s="1" t="s">
        <v>42</v>
      </c>
      <c r="T1514" s="1" t="s">
        <v>203</v>
      </c>
      <c r="U1514" s="1">
        <v>88</v>
      </c>
      <c r="V1514" s="5">
        <v>44399</v>
      </c>
      <c r="W1514" s="5">
        <v>43505</v>
      </c>
      <c r="X1514" s="1">
        <v>18150000</v>
      </c>
      <c r="Y1514" s="1">
        <v>18150000</v>
      </c>
      <c r="Z1514" s="5">
        <v>43593</v>
      </c>
      <c r="AA1514" s="1">
        <v>18150000</v>
      </c>
      <c r="AB1514" s="1" t="s">
        <v>204</v>
      </c>
      <c r="AC1514" s="5">
        <v>43602</v>
      </c>
      <c r="AF1514" s="1">
        <v>10010</v>
      </c>
      <c r="AJ1514" s="1">
        <v>1912</v>
      </c>
      <c r="AK1514" s="1" t="s">
        <v>81</v>
      </c>
      <c r="AL1514" s="1">
        <v>48</v>
      </c>
    </row>
    <row r="1515" spans="1:38" x14ac:dyDescent="0.2">
      <c r="A1515" s="2" t="str">
        <f>HYPERLINK("https://www.compass.com/listing/212-5th-avenue-unit-15b-manhattan-ny-10010/803369357174318057/","212 5th Ave, Unit 15B")</f>
        <v>212 5th Ave, Unit 15B</v>
      </c>
      <c r="B1515" s="2" t="str">
        <f t="shared" si="268"/>
        <v>212 5th Ave</v>
      </c>
      <c r="C1515" s="1" t="s">
        <v>95</v>
      </c>
      <c r="D1515" s="1" t="s">
        <v>41</v>
      </c>
      <c r="E1515" s="3">
        <v>8756950</v>
      </c>
      <c r="F1515" s="1">
        <v>2845.0129954515901</v>
      </c>
      <c r="G1515" s="1">
        <v>5</v>
      </c>
      <c r="H1515" s="1">
        <v>3</v>
      </c>
      <c r="I1515" s="1">
        <v>4</v>
      </c>
      <c r="J1515" s="1">
        <v>3.5</v>
      </c>
      <c r="K1515" s="1">
        <v>3</v>
      </c>
      <c r="L1515" s="1">
        <v>1</v>
      </c>
      <c r="M1515" s="4">
        <v>3078</v>
      </c>
      <c r="N1515" s="1">
        <v>3356.19</v>
      </c>
      <c r="O1515" s="1">
        <v>7103.17</v>
      </c>
      <c r="P1515" s="1">
        <v>3747</v>
      </c>
      <c r="Q1515" s="1" t="s">
        <v>42</v>
      </c>
      <c r="S1515" s="1" t="s">
        <v>42</v>
      </c>
      <c r="T1515" s="1" t="s">
        <v>203</v>
      </c>
      <c r="U1515" s="1">
        <v>42</v>
      </c>
      <c r="V1515" s="5">
        <v>42843</v>
      </c>
      <c r="W1515" s="5">
        <v>42691</v>
      </c>
      <c r="X1515" s="1">
        <v>9100000</v>
      </c>
      <c r="Y1515" s="1">
        <v>9100000</v>
      </c>
      <c r="Z1515" s="5">
        <v>42733</v>
      </c>
      <c r="AA1515" s="1">
        <v>8756950</v>
      </c>
      <c r="AB1515" s="1" t="s">
        <v>1155</v>
      </c>
      <c r="AC1515" s="5">
        <v>42816</v>
      </c>
      <c r="AF1515" s="1">
        <v>10010</v>
      </c>
      <c r="AJ1515" s="1">
        <v>1912</v>
      </c>
      <c r="AK1515" s="1" t="s">
        <v>81</v>
      </c>
      <c r="AL1515" s="1">
        <v>48</v>
      </c>
    </row>
    <row r="1516" spans="1:38" x14ac:dyDescent="0.2">
      <c r="A1516" s="2" t="str">
        <f>HYPERLINK("https://www.compass.com/listing/212-5th-avenue-unit-7a-manhattan-ny-10010/469356289152463369/","212 5th Ave, Unit 7A")</f>
        <v>212 5th Ave, Unit 7A</v>
      </c>
      <c r="B1516" s="2" t="str">
        <f t="shared" si="268"/>
        <v>212 5th Ave</v>
      </c>
      <c r="C1516" s="1" t="s">
        <v>95</v>
      </c>
      <c r="D1516" s="1" t="s">
        <v>41</v>
      </c>
      <c r="E1516" s="3">
        <v>9900000</v>
      </c>
      <c r="F1516" s="1">
        <v>3291.22340425531</v>
      </c>
      <c r="G1516" s="1">
        <v>5</v>
      </c>
      <c r="H1516" s="1">
        <v>3</v>
      </c>
      <c r="I1516" s="1">
        <v>4</v>
      </c>
      <c r="J1516" s="1">
        <v>3.5</v>
      </c>
      <c r="K1516" s="1">
        <v>3</v>
      </c>
      <c r="L1516" s="1">
        <v>1</v>
      </c>
      <c r="M1516" s="4">
        <v>3008</v>
      </c>
      <c r="N1516" s="1">
        <v>4267</v>
      </c>
      <c r="O1516" s="1">
        <v>9591</v>
      </c>
      <c r="P1516" s="1">
        <v>5324</v>
      </c>
      <c r="Q1516" s="1" t="s">
        <v>42</v>
      </c>
      <c r="S1516" s="1" t="s">
        <v>42</v>
      </c>
      <c r="T1516" s="1" t="s">
        <v>203</v>
      </c>
      <c r="U1516" s="1">
        <v>247</v>
      </c>
      <c r="V1516" s="5">
        <v>44387</v>
      </c>
      <c r="W1516" s="5">
        <v>43899</v>
      </c>
      <c r="X1516" s="1">
        <v>11600000</v>
      </c>
      <c r="Y1516" s="1">
        <v>10750000</v>
      </c>
      <c r="Z1516" s="5">
        <v>44252</v>
      </c>
      <c r="AA1516" s="1">
        <v>9900000</v>
      </c>
      <c r="AB1516" s="1" t="s">
        <v>1156</v>
      </c>
      <c r="AC1516" s="5">
        <v>44313</v>
      </c>
      <c r="AF1516" s="1">
        <v>10010</v>
      </c>
      <c r="AJ1516" s="1">
        <v>1912</v>
      </c>
      <c r="AK1516" s="1" t="s">
        <v>81</v>
      </c>
      <c r="AL1516" s="1">
        <v>48</v>
      </c>
    </row>
    <row r="1517" spans="1:38" x14ac:dyDescent="0.2">
      <c r="A1517" s="2" t="str">
        <f>HYPERLINK("https://www.compass.com/listing/308-west-30th-street-unit-9f-manhattan-ny-10001/29371603238377969/","308 W 30th St, Unit 9F")</f>
        <v>308 W 30th St, Unit 9F</v>
      </c>
      <c r="B1517" s="2" t="str">
        <f t="shared" ref="B1517:B1518" si="269">HYPERLINK("https://www.compass.com/building/the-irvin-house-manhattan-ny/281883290133070869/","The Irvin House")</f>
        <v>The Irvin House</v>
      </c>
      <c r="C1517" s="1" t="s">
        <v>62</v>
      </c>
      <c r="D1517" s="1" t="s">
        <v>41</v>
      </c>
      <c r="E1517" s="3">
        <v>925000</v>
      </c>
      <c r="G1517" s="1">
        <v>4</v>
      </c>
      <c r="H1517" s="1">
        <v>1</v>
      </c>
      <c r="I1517" s="1">
        <v>1</v>
      </c>
      <c r="J1517" s="1">
        <v>1</v>
      </c>
      <c r="N1517" s="1">
        <v>499</v>
      </c>
      <c r="O1517" s="1">
        <v>1147</v>
      </c>
      <c r="P1517" s="1">
        <v>648</v>
      </c>
      <c r="Q1517" s="1" t="s">
        <v>42</v>
      </c>
      <c r="S1517" s="1" t="s">
        <v>42</v>
      </c>
      <c r="T1517" s="1" t="s">
        <v>203</v>
      </c>
      <c r="U1517" s="1">
        <v>37</v>
      </c>
      <c r="V1517" s="5">
        <v>43638</v>
      </c>
      <c r="W1517" s="5">
        <v>43124</v>
      </c>
      <c r="X1517" s="1">
        <v>935000</v>
      </c>
      <c r="Y1517" s="1">
        <v>935000</v>
      </c>
      <c r="Z1517" s="5">
        <v>43161</v>
      </c>
      <c r="AA1517" s="1">
        <v>925000</v>
      </c>
      <c r="AB1517" s="1" t="s">
        <v>1157</v>
      </c>
      <c r="AC1517" s="5">
        <v>43234</v>
      </c>
      <c r="AF1517" s="1">
        <v>10001</v>
      </c>
      <c r="AI1517" s="1" t="s">
        <v>315</v>
      </c>
      <c r="AJ1517" s="1">
        <v>1925</v>
      </c>
      <c r="AL1517" s="1">
        <v>61</v>
      </c>
    </row>
    <row r="1518" spans="1:38" x14ac:dyDescent="0.2">
      <c r="A1518" s="2" t="str">
        <f>HYPERLINK("https://www.compass.com/listing/308-west-30th-street-unit-pha-manhattan-ny-10001/359991552488262113/","308 W 30th St, Unit PHA")</f>
        <v>308 W 30th St, Unit PHA</v>
      </c>
      <c r="B1518" s="2" t="str">
        <f t="shared" si="269"/>
        <v>The Irvin House</v>
      </c>
      <c r="C1518" s="1" t="s">
        <v>62</v>
      </c>
      <c r="D1518" s="1" t="s">
        <v>41</v>
      </c>
      <c r="E1518" s="3">
        <v>1075000</v>
      </c>
      <c r="F1518" s="1">
        <v>1385.3092783505101</v>
      </c>
      <c r="G1518" s="1">
        <v>3</v>
      </c>
      <c r="H1518" s="1">
        <v>1</v>
      </c>
      <c r="I1518" s="1">
        <v>2</v>
      </c>
      <c r="J1518" s="1">
        <v>1.5</v>
      </c>
      <c r="K1518" s="1">
        <v>1</v>
      </c>
      <c r="L1518" s="1">
        <v>1</v>
      </c>
      <c r="M1518" s="1">
        <v>776</v>
      </c>
      <c r="N1518" s="1">
        <v>983</v>
      </c>
      <c r="O1518" s="1">
        <v>2476</v>
      </c>
      <c r="P1518" s="1">
        <v>1493</v>
      </c>
      <c r="Q1518" s="1" t="s">
        <v>42</v>
      </c>
      <c r="S1518" s="1" t="s">
        <v>42</v>
      </c>
      <c r="T1518" s="1" t="s">
        <v>203</v>
      </c>
      <c r="U1518" s="1">
        <v>151</v>
      </c>
      <c r="V1518" s="5">
        <v>43964</v>
      </c>
      <c r="W1518" s="5">
        <v>43623</v>
      </c>
      <c r="X1518" s="1">
        <v>1200000</v>
      </c>
      <c r="Y1518" s="1">
        <v>1200000</v>
      </c>
      <c r="Z1518" s="5">
        <v>43774</v>
      </c>
      <c r="AA1518" s="1">
        <v>1075000</v>
      </c>
      <c r="AB1518" s="1" t="s">
        <v>204</v>
      </c>
      <c r="AC1518" s="5">
        <v>43789</v>
      </c>
      <c r="AF1518" s="1">
        <v>10001</v>
      </c>
      <c r="AI1518" s="1" t="s">
        <v>1158</v>
      </c>
      <c r="AJ1518" s="1">
        <v>1925</v>
      </c>
      <c r="AL1518" s="1">
        <v>61</v>
      </c>
    </row>
    <row r="1519" spans="1:38" x14ac:dyDescent="0.2">
      <c r="A1519" s="2" t="str">
        <f>HYPERLINK("https://www.compass.com/listing/212-5th-avenue-unit-19ab-manhattan-ny-10010/4852274818327779585/","212 5th Ave, Unit 19AB")</f>
        <v>212 5th Ave, Unit 19AB</v>
      </c>
      <c r="B1519" s="2" t="str">
        <f>HYPERLINK("https://www.compass.com/building/212-5th-ave-manhattan-ny-10010/281902136567020981/","212 5th Ave")</f>
        <v>212 5th Ave</v>
      </c>
      <c r="C1519" s="1" t="s">
        <v>95</v>
      </c>
      <c r="D1519" s="1" t="s">
        <v>41</v>
      </c>
      <c r="E1519" s="3">
        <v>28225000</v>
      </c>
      <c r="F1519" s="1">
        <v>6902.6656884323702</v>
      </c>
      <c r="G1519" s="1">
        <v>14</v>
      </c>
      <c r="H1519" s="1">
        <v>7</v>
      </c>
      <c r="I1519" s="1">
        <v>8</v>
      </c>
      <c r="J1519" s="1">
        <v>7.5</v>
      </c>
      <c r="K1519" s="1">
        <v>7</v>
      </c>
      <c r="L1519" s="1">
        <v>1</v>
      </c>
      <c r="M1519" s="4">
        <v>4089</v>
      </c>
      <c r="N1519" s="1">
        <v>9526</v>
      </c>
      <c r="O1519" s="1">
        <v>20161</v>
      </c>
      <c r="P1519" s="1">
        <v>10635</v>
      </c>
      <c r="Q1519" s="1" t="s">
        <v>42</v>
      </c>
      <c r="S1519" s="1" t="s">
        <v>42</v>
      </c>
      <c r="T1519" s="1" t="s">
        <v>203</v>
      </c>
      <c r="V1519" s="5">
        <v>43668</v>
      </c>
      <c r="W1519" s="5">
        <v>42909</v>
      </c>
      <c r="X1519" s="1">
        <v>28225000</v>
      </c>
      <c r="Y1519" s="1">
        <v>28225000</v>
      </c>
      <c r="Z1519" s="5">
        <v>42909</v>
      </c>
      <c r="AA1519" s="1">
        <v>28225000</v>
      </c>
      <c r="AB1519" s="1" t="s">
        <v>204</v>
      </c>
      <c r="AC1519" s="5">
        <v>42910</v>
      </c>
      <c r="AF1519" s="1">
        <v>10010</v>
      </c>
      <c r="AJ1519" s="1">
        <v>1912</v>
      </c>
      <c r="AK1519" s="1" t="s">
        <v>81</v>
      </c>
      <c r="AL1519" s="1">
        <v>48</v>
      </c>
    </row>
    <row r="1520" spans="1:38" x14ac:dyDescent="0.2">
      <c r="A1520" s="2" t="str">
        <f>HYPERLINK("https://www.compass.com/listing/91-leonard-street-unit-3f-manhattan-ny-10013/34689502861716065/","91 Leonard St, Unit 3F")</f>
        <v>91 Leonard St, Unit 3F</v>
      </c>
      <c r="B1520" s="2" t="str">
        <f>HYPERLINK("https://www.compass.com/building/91-leonard-manhattan-ny/282058661633754165/","91 Leonard")</f>
        <v>91 Leonard</v>
      </c>
      <c r="C1520" s="1" t="s">
        <v>40</v>
      </c>
      <c r="D1520" s="1" t="s">
        <v>41</v>
      </c>
      <c r="E1520" s="3">
        <v>869993</v>
      </c>
      <c r="F1520" s="1">
        <v>1469.5824324324301</v>
      </c>
      <c r="G1520" s="1">
        <v>2</v>
      </c>
      <c r="H1520" s="1" t="s">
        <v>77</v>
      </c>
      <c r="I1520" s="1">
        <v>1</v>
      </c>
      <c r="J1520" s="1">
        <v>1</v>
      </c>
      <c r="K1520" s="1">
        <v>1</v>
      </c>
      <c r="M1520" s="1">
        <v>592</v>
      </c>
      <c r="N1520" s="1">
        <v>682</v>
      </c>
      <c r="O1520" s="1">
        <v>1723</v>
      </c>
      <c r="P1520" s="1">
        <v>1041</v>
      </c>
      <c r="Q1520" s="1" t="s">
        <v>42</v>
      </c>
      <c r="S1520" s="1" t="s">
        <v>42</v>
      </c>
      <c r="T1520" s="1" t="s">
        <v>203</v>
      </c>
      <c r="U1520" s="1">
        <v>225</v>
      </c>
      <c r="V1520" s="5">
        <v>44314</v>
      </c>
      <c r="W1520" s="5">
        <v>43074</v>
      </c>
      <c r="X1520" s="1">
        <v>854400</v>
      </c>
      <c r="Y1520" s="1">
        <v>990000</v>
      </c>
      <c r="Z1520" s="5">
        <v>43300</v>
      </c>
      <c r="AA1520" s="1">
        <v>869992.8</v>
      </c>
      <c r="AB1520" s="1" t="s">
        <v>1159</v>
      </c>
      <c r="AC1520" s="5">
        <v>43693</v>
      </c>
      <c r="AF1520" s="1">
        <v>10013</v>
      </c>
      <c r="AI1520" s="1" t="s">
        <v>103</v>
      </c>
      <c r="AJ1520" s="1">
        <v>2016</v>
      </c>
      <c r="AK1520" s="1" t="s">
        <v>81</v>
      </c>
      <c r="AL1520" s="1">
        <v>111</v>
      </c>
    </row>
    <row r="1521" spans="1:38" x14ac:dyDescent="0.2">
      <c r="A1521" s="2" t="str">
        <f>HYPERLINK("https://www.compass.com/listing/308-west-30th-street-unit-10c-manhattan-ny-10001/263650977523960785/","308 W 30th St, Unit 10C")</f>
        <v>308 W 30th St, Unit 10C</v>
      </c>
      <c r="B1521" s="2" t="str">
        <f>HYPERLINK("https://www.compass.com/building/the-irvin-house-manhattan-ny/281883290133070869/","The Irvin House")</f>
        <v>The Irvin House</v>
      </c>
      <c r="C1521" s="1" t="s">
        <v>62</v>
      </c>
      <c r="D1521" s="1" t="s">
        <v>41</v>
      </c>
      <c r="E1521" s="3">
        <v>905000</v>
      </c>
      <c r="F1521" s="1">
        <v>1536.5025466893001</v>
      </c>
      <c r="G1521" s="1">
        <v>3.5</v>
      </c>
      <c r="H1521" s="1">
        <v>1</v>
      </c>
      <c r="I1521" s="1">
        <v>1</v>
      </c>
      <c r="J1521" s="1">
        <v>1</v>
      </c>
      <c r="M1521" s="1">
        <v>589</v>
      </c>
      <c r="N1521" s="1">
        <v>474</v>
      </c>
      <c r="O1521" s="1">
        <v>1200</v>
      </c>
      <c r="P1521" s="1">
        <v>726</v>
      </c>
      <c r="Q1521" s="1" t="s">
        <v>42</v>
      </c>
      <c r="S1521" s="1" t="s">
        <v>42</v>
      </c>
      <c r="T1521" s="1" t="s">
        <v>203</v>
      </c>
      <c r="V1521" s="5">
        <v>43762</v>
      </c>
      <c r="W1521" s="5">
        <v>43619</v>
      </c>
      <c r="X1521" s="1">
        <v>985000</v>
      </c>
      <c r="AB1521" s="1" t="s">
        <v>204</v>
      </c>
      <c r="AF1521" s="1">
        <v>10001</v>
      </c>
      <c r="AI1521" s="1" t="s">
        <v>73</v>
      </c>
      <c r="AJ1521" s="1">
        <v>1925</v>
      </c>
      <c r="AL1521" s="1">
        <v>61</v>
      </c>
    </row>
    <row r="1522" spans="1:38" x14ac:dyDescent="0.2">
      <c r="A1522" s="2" t="str">
        <f>HYPERLINK("https://www.compass.com/listing/212-5th-avenue-unit-3c-manhattan-ny-10010/206529290030918849/","212 5th Ave, Unit 3C")</f>
        <v>212 5th Ave, Unit 3C</v>
      </c>
      <c r="B1522" s="2" t="str">
        <f t="shared" ref="B1522:B1540" si="270">HYPERLINK("https://www.compass.com/building/212-5th-ave-manhattan-ny-10010/281902136567020981/","212 5th Ave")</f>
        <v>212 5th Ave</v>
      </c>
      <c r="C1522" s="1" t="s">
        <v>95</v>
      </c>
      <c r="D1522" s="1" t="s">
        <v>41</v>
      </c>
      <c r="E1522" s="3">
        <v>4327563</v>
      </c>
      <c r="F1522" s="1">
        <v>2802.8257772020702</v>
      </c>
      <c r="G1522" s="1">
        <v>5</v>
      </c>
      <c r="H1522" s="1">
        <v>2</v>
      </c>
      <c r="I1522" s="1">
        <v>3</v>
      </c>
      <c r="J1522" s="1">
        <v>2.5</v>
      </c>
      <c r="K1522" s="1">
        <v>2</v>
      </c>
      <c r="L1522" s="1">
        <v>1</v>
      </c>
      <c r="M1522" s="4">
        <v>1544</v>
      </c>
      <c r="N1522" s="1">
        <v>1442</v>
      </c>
      <c r="O1522" s="1">
        <v>3052</v>
      </c>
      <c r="P1522" s="1">
        <v>1610</v>
      </c>
      <c r="Q1522" s="1" t="s">
        <v>42</v>
      </c>
      <c r="S1522" s="1" t="s">
        <v>42</v>
      </c>
      <c r="T1522" s="1" t="s">
        <v>203</v>
      </c>
      <c r="V1522" s="5">
        <v>43668</v>
      </c>
      <c r="W1522" s="5">
        <v>42649</v>
      </c>
      <c r="X1522" s="1">
        <v>4550000</v>
      </c>
      <c r="Y1522" s="1">
        <v>4550000</v>
      </c>
      <c r="Z1522" s="5">
        <v>42649</v>
      </c>
      <c r="AA1522" s="1">
        <v>4327563</v>
      </c>
      <c r="AB1522" s="1" t="s">
        <v>1160</v>
      </c>
      <c r="AC1522" s="5">
        <v>42832</v>
      </c>
      <c r="AF1522" s="1">
        <v>10010</v>
      </c>
      <c r="AJ1522" s="1">
        <v>1912</v>
      </c>
      <c r="AK1522" s="1" t="s">
        <v>81</v>
      </c>
      <c r="AL1522" s="1">
        <v>48</v>
      </c>
    </row>
    <row r="1523" spans="1:38" x14ac:dyDescent="0.2">
      <c r="A1523" s="2" t="str">
        <f>HYPERLINK("https://www.compass.com/listing/212-5th-avenue-unit-7c-manhattan-ny-10010/206529295793893185/","212 5th Ave, Unit 7C")</f>
        <v>212 5th Ave, Unit 7C</v>
      </c>
      <c r="B1523" s="2" t="str">
        <f t="shared" si="270"/>
        <v>212 5th Ave</v>
      </c>
      <c r="C1523" s="1" t="s">
        <v>95</v>
      </c>
      <c r="D1523" s="1" t="s">
        <v>41</v>
      </c>
      <c r="E1523" s="3">
        <v>4039058</v>
      </c>
      <c r="F1523" s="1">
        <v>2626.1755526657998</v>
      </c>
      <c r="G1523" s="1">
        <v>4</v>
      </c>
      <c r="H1523" s="1">
        <v>2</v>
      </c>
      <c r="I1523" s="1">
        <v>3</v>
      </c>
      <c r="J1523" s="1">
        <v>2.5</v>
      </c>
      <c r="K1523" s="1">
        <v>2</v>
      </c>
      <c r="L1523" s="1">
        <v>1</v>
      </c>
      <c r="M1523" s="4">
        <v>1538</v>
      </c>
      <c r="N1523" s="1">
        <v>1471</v>
      </c>
      <c r="O1523" s="1">
        <v>3114</v>
      </c>
      <c r="P1523" s="1">
        <v>1643</v>
      </c>
      <c r="Q1523" s="1" t="s">
        <v>42</v>
      </c>
      <c r="S1523" s="1" t="s">
        <v>42</v>
      </c>
      <c r="T1523" s="1" t="s">
        <v>203</v>
      </c>
      <c r="V1523" s="5">
        <v>43666</v>
      </c>
      <c r="W1523" s="5">
        <v>42649</v>
      </c>
      <c r="X1523" s="1">
        <v>4100000</v>
      </c>
      <c r="Y1523" s="1">
        <v>4100000</v>
      </c>
      <c r="Z1523" s="5">
        <v>42649</v>
      </c>
      <c r="AA1523" s="1">
        <v>4039058</v>
      </c>
      <c r="AB1523" s="1" t="s">
        <v>1161</v>
      </c>
      <c r="AC1523" s="5">
        <v>42803</v>
      </c>
      <c r="AF1523" s="1">
        <v>10010</v>
      </c>
      <c r="AJ1523" s="1">
        <v>1912</v>
      </c>
      <c r="AK1523" s="1" t="s">
        <v>81</v>
      </c>
      <c r="AL1523" s="1">
        <v>48</v>
      </c>
    </row>
    <row r="1524" spans="1:38" x14ac:dyDescent="0.2">
      <c r="A1524" s="2" t="str">
        <f>HYPERLINK("https://www.compass.com/listing/212-5th-avenue-unit-5c-manhattan-ny-10010/29374776481017601/","212 5th Ave, Unit 5C")</f>
        <v>212 5th Ave, Unit 5C</v>
      </c>
      <c r="B1524" s="2" t="str">
        <f t="shared" si="270"/>
        <v>212 5th Ave</v>
      </c>
      <c r="C1524" s="1" t="s">
        <v>95</v>
      </c>
      <c r="D1524" s="1" t="s">
        <v>41</v>
      </c>
      <c r="E1524" s="3">
        <v>3971175</v>
      </c>
      <c r="F1524" s="1">
        <v>2582.0383615084502</v>
      </c>
      <c r="G1524" s="1">
        <v>4</v>
      </c>
      <c r="H1524" s="1">
        <v>2</v>
      </c>
      <c r="I1524" s="1">
        <v>3</v>
      </c>
      <c r="J1524" s="1">
        <v>2.5</v>
      </c>
      <c r="K1524" s="1">
        <v>2</v>
      </c>
      <c r="L1524" s="1">
        <v>1</v>
      </c>
      <c r="M1524" s="4">
        <v>1538</v>
      </c>
      <c r="N1524" s="1">
        <v>1422</v>
      </c>
      <c r="O1524" s="1">
        <v>3009</v>
      </c>
      <c r="P1524" s="1">
        <v>1587</v>
      </c>
      <c r="Q1524" s="1" t="s">
        <v>42</v>
      </c>
      <c r="S1524" s="1" t="s">
        <v>42</v>
      </c>
      <c r="T1524" s="1" t="s">
        <v>203</v>
      </c>
      <c r="V1524" s="5">
        <v>43666</v>
      </c>
      <c r="W1524" s="5">
        <v>42649</v>
      </c>
      <c r="X1524" s="1">
        <v>4200000</v>
      </c>
      <c r="Y1524" s="1">
        <v>4200000</v>
      </c>
      <c r="Z1524" s="5">
        <v>42649</v>
      </c>
      <c r="AA1524" s="1">
        <v>3971175</v>
      </c>
      <c r="AB1524" s="1" t="s">
        <v>1162</v>
      </c>
      <c r="AC1524" s="5">
        <v>42803</v>
      </c>
      <c r="AF1524" s="1">
        <v>10010</v>
      </c>
      <c r="AJ1524" s="1">
        <v>1912</v>
      </c>
      <c r="AK1524" s="1" t="s">
        <v>81</v>
      </c>
      <c r="AL1524" s="1">
        <v>48</v>
      </c>
    </row>
    <row r="1525" spans="1:38" x14ac:dyDescent="0.2">
      <c r="A1525" s="2" t="str">
        <f>HYPERLINK("https://www.compass.com/listing/212-5th-avenue-unit-6c-manhattan-ny-10010/29374778100018977/","212 5th Ave, Unit 6C")</f>
        <v>212 5th Ave, Unit 6C</v>
      </c>
      <c r="B1525" s="2" t="str">
        <f t="shared" si="270"/>
        <v>212 5th Ave</v>
      </c>
      <c r="C1525" s="1" t="s">
        <v>95</v>
      </c>
      <c r="D1525" s="1" t="s">
        <v>41</v>
      </c>
      <c r="E1525" s="3">
        <v>4200000</v>
      </c>
      <c r="F1525" s="1">
        <v>2730.81924577373</v>
      </c>
      <c r="G1525" s="1">
        <v>5</v>
      </c>
      <c r="H1525" s="1">
        <v>2</v>
      </c>
      <c r="I1525" s="1">
        <v>3</v>
      </c>
      <c r="J1525" s="1">
        <v>2.5</v>
      </c>
      <c r="K1525" s="1">
        <v>2</v>
      </c>
      <c r="L1525" s="1">
        <v>1</v>
      </c>
      <c r="M1525" s="4">
        <v>1538</v>
      </c>
      <c r="N1525" s="1">
        <v>1446</v>
      </c>
      <c r="O1525" s="1">
        <v>3061</v>
      </c>
      <c r="P1525" s="1">
        <v>1615</v>
      </c>
      <c r="Q1525" s="1" t="s">
        <v>42</v>
      </c>
      <c r="S1525" s="1" t="s">
        <v>42</v>
      </c>
      <c r="T1525" s="1" t="s">
        <v>203</v>
      </c>
      <c r="V1525" s="5">
        <v>43665</v>
      </c>
      <c r="W1525" s="5">
        <v>42649</v>
      </c>
      <c r="X1525" s="1">
        <v>4300000</v>
      </c>
      <c r="Y1525" s="1">
        <v>4300000</v>
      </c>
      <c r="Z1525" s="5">
        <v>42649</v>
      </c>
      <c r="AA1525" s="1">
        <v>4200000</v>
      </c>
      <c r="AB1525" s="1" t="s">
        <v>1163</v>
      </c>
      <c r="AC1525" s="5">
        <v>42789</v>
      </c>
      <c r="AF1525" s="1">
        <v>10010</v>
      </c>
      <c r="AJ1525" s="1">
        <v>1912</v>
      </c>
      <c r="AK1525" s="1" t="s">
        <v>81</v>
      </c>
      <c r="AL1525" s="1">
        <v>48</v>
      </c>
    </row>
    <row r="1526" spans="1:38" x14ac:dyDescent="0.2">
      <c r="A1526" s="2" t="str">
        <f>HYPERLINK("https://www.compass.com/listing/212-5th-avenue-unit-8c-manhattan-ny-10010/29374781598068577/","212 5th Ave, Unit 8C")</f>
        <v>212 5th Ave, Unit 8C</v>
      </c>
      <c r="B1526" s="2" t="str">
        <f t="shared" si="270"/>
        <v>212 5th Ave</v>
      </c>
      <c r="C1526" s="1" t="s">
        <v>95</v>
      </c>
      <c r="D1526" s="1" t="s">
        <v>41</v>
      </c>
      <c r="E1526" s="3">
        <v>4140883</v>
      </c>
      <c r="F1526" s="1">
        <v>2692.3816644993499</v>
      </c>
      <c r="G1526" s="1">
        <v>6</v>
      </c>
      <c r="H1526" s="1">
        <v>2</v>
      </c>
      <c r="I1526" s="1">
        <v>3</v>
      </c>
      <c r="J1526" s="1">
        <v>2.5</v>
      </c>
      <c r="K1526" s="1">
        <v>2</v>
      </c>
      <c r="L1526" s="1">
        <v>1</v>
      </c>
      <c r="M1526" s="4">
        <v>1538</v>
      </c>
      <c r="N1526" s="1">
        <v>1496</v>
      </c>
      <c r="O1526" s="1">
        <v>3166</v>
      </c>
      <c r="P1526" s="1">
        <v>1670</v>
      </c>
      <c r="Q1526" s="1" t="s">
        <v>42</v>
      </c>
      <c r="S1526" s="1" t="s">
        <v>42</v>
      </c>
      <c r="T1526" s="1" t="s">
        <v>203</v>
      </c>
      <c r="V1526" s="5">
        <v>43668</v>
      </c>
      <c r="W1526" s="5">
        <v>42649</v>
      </c>
      <c r="X1526" s="1">
        <v>4500000</v>
      </c>
      <c r="Y1526" s="1">
        <v>4500000</v>
      </c>
      <c r="Z1526" s="5">
        <v>42649</v>
      </c>
      <c r="AA1526" s="1">
        <v>4140883</v>
      </c>
      <c r="AB1526" s="1" t="s">
        <v>1164</v>
      </c>
      <c r="AC1526" s="5">
        <v>42803</v>
      </c>
      <c r="AF1526" s="1">
        <v>10010</v>
      </c>
      <c r="AJ1526" s="1">
        <v>1912</v>
      </c>
      <c r="AK1526" s="1" t="s">
        <v>81</v>
      </c>
      <c r="AL1526" s="1">
        <v>48</v>
      </c>
    </row>
    <row r="1527" spans="1:38" x14ac:dyDescent="0.2">
      <c r="A1527" s="2" t="str">
        <f>HYPERLINK("https://www.compass.com/listing/212-5th-avenue-unit-8c-manhattan-ny-10010/803334804892093265/","212 5th Ave, Unit 8C")</f>
        <v>212 5th Ave, Unit 8C</v>
      </c>
      <c r="B1527" s="2" t="str">
        <f t="shared" si="270"/>
        <v>212 5th Ave</v>
      </c>
      <c r="C1527" s="1" t="s">
        <v>95</v>
      </c>
      <c r="D1527" s="1" t="s">
        <v>41</v>
      </c>
      <c r="E1527" s="3">
        <v>4140883</v>
      </c>
      <c r="F1527" s="1">
        <v>2692.38188556566</v>
      </c>
      <c r="G1527" s="1">
        <v>6</v>
      </c>
      <c r="H1527" s="1">
        <v>2</v>
      </c>
      <c r="I1527" s="1">
        <v>3</v>
      </c>
      <c r="J1527" s="1">
        <v>2.5</v>
      </c>
      <c r="M1527" s="4">
        <v>1538</v>
      </c>
      <c r="N1527" s="1">
        <v>1496</v>
      </c>
      <c r="O1527" s="1">
        <v>3166</v>
      </c>
      <c r="P1527" s="1">
        <v>1670</v>
      </c>
      <c r="Q1527" s="1" t="s">
        <v>42</v>
      </c>
      <c r="S1527" s="1" t="s">
        <v>42</v>
      </c>
      <c r="T1527" s="1" t="s">
        <v>203</v>
      </c>
      <c r="U1527" s="1">
        <v>41</v>
      </c>
      <c r="V1527" s="5">
        <v>42775</v>
      </c>
      <c r="W1527" s="5">
        <v>42413</v>
      </c>
      <c r="X1527" s="1">
        <v>4200000</v>
      </c>
      <c r="Y1527" s="1">
        <v>4500000</v>
      </c>
      <c r="Z1527" s="5">
        <v>42454</v>
      </c>
      <c r="AA1527" s="1">
        <v>4140883.34</v>
      </c>
      <c r="AB1527" s="1" t="s">
        <v>1164</v>
      </c>
      <c r="AC1527" s="5">
        <v>42802</v>
      </c>
      <c r="AF1527" s="1">
        <v>10010</v>
      </c>
      <c r="AJ1527" s="1">
        <v>1912</v>
      </c>
      <c r="AK1527" s="1" t="s">
        <v>81</v>
      </c>
      <c r="AL1527" s="1">
        <v>48</v>
      </c>
    </row>
    <row r="1528" spans="1:38" x14ac:dyDescent="0.2">
      <c r="A1528" s="2" t="str">
        <f>HYPERLINK("https://www.compass.com/listing/212-5th-avenue-unit-6c-manhattan-ny-10010/803365768150307465/","212 5th Ave, Unit 6C")</f>
        <v>212 5th Ave, Unit 6C</v>
      </c>
      <c r="B1528" s="2" t="str">
        <f t="shared" si="270"/>
        <v>212 5th Ave</v>
      </c>
      <c r="C1528" s="1" t="s">
        <v>95</v>
      </c>
      <c r="D1528" s="1" t="s">
        <v>41</v>
      </c>
      <c r="E1528" s="3">
        <v>4200000</v>
      </c>
      <c r="F1528" s="1">
        <v>2730.81924577373</v>
      </c>
      <c r="G1528" s="1">
        <v>5</v>
      </c>
      <c r="H1528" s="1">
        <v>2</v>
      </c>
      <c r="I1528" s="1">
        <v>3</v>
      </c>
      <c r="J1528" s="1">
        <v>2.5</v>
      </c>
      <c r="M1528" s="4">
        <v>1538</v>
      </c>
      <c r="N1528" s="1">
        <v>1446</v>
      </c>
      <c r="O1528" s="1">
        <v>3061</v>
      </c>
      <c r="P1528" s="1">
        <v>1615</v>
      </c>
      <c r="Q1528" s="1" t="s">
        <v>42</v>
      </c>
      <c r="S1528" s="1" t="s">
        <v>42</v>
      </c>
      <c r="T1528" s="1" t="s">
        <v>203</v>
      </c>
      <c r="U1528" s="1">
        <v>39</v>
      </c>
      <c r="V1528" s="5">
        <v>42775</v>
      </c>
      <c r="W1528" s="5">
        <v>42314</v>
      </c>
      <c r="X1528" s="1">
        <v>4000000</v>
      </c>
      <c r="Y1528" s="1">
        <v>4300000</v>
      </c>
      <c r="Z1528" s="5">
        <v>42354</v>
      </c>
      <c r="AA1528" s="1">
        <v>4200000</v>
      </c>
      <c r="AB1528" s="1" t="s">
        <v>1163</v>
      </c>
      <c r="AC1528" s="5">
        <v>42789</v>
      </c>
      <c r="AF1528" s="1">
        <v>10010</v>
      </c>
      <c r="AJ1528" s="1">
        <v>1912</v>
      </c>
      <c r="AK1528" s="1" t="s">
        <v>81</v>
      </c>
      <c r="AL1528" s="1">
        <v>48</v>
      </c>
    </row>
    <row r="1529" spans="1:38" x14ac:dyDescent="0.2">
      <c r="A1529" s="2" t="str">
        <f>HYPERLINK("https://www.compass.com/listing/212-5th-avenue-unit-5c-manhattan-ny-10010/803371525755512073/","212 5th Ave, Unit 5C")</f>
        <v>212 5th Ave, Unit 5C</v>
      </c>
      <c r="B1529" s="2" t="str">
        <f t="shared" si="270"/>
        <v>212 5th Ave</v>
      </c>
      <c r="C1529" s="1" t="s">
        <v>95</v>
      </c>
      <c r="D1529" s="1" t="s">
        <v>41</v>
      </c>
      <c r="E1529" s="3">
        <v>3971175</v>
      </c>
      <c r="F1529" s="1">
        <v>2582.0383615084502</v>
      </c>
      <c r="G1529" s="1">
        <v>5</v>
      </c>
      <c r="H1529" s="1">
        <v>2</v>
      </c>
      <c r="I1529" s="1">
        <v>3</v>
      </c>
      <c r="J1529" s="1">
        <v>2.5</v>
      </c>
      <c r="M1529" s="4">
        <v>1538</v>
      </c>
      <c r="N1529" s="1">
        <v>1422</v>
      </c>
      <c r="O1529" s="1">
        <v>3009</v>
      </c>
      <c r="P1529" s="1">
        <v>1587</v>
      </c>
      <c r="Q1529" s="1" t="s">
        <v>42</v>
      </c>
      <c r="S1529" s="1" t="s">
        <v>42</v>
      </c>
      <c r="T1529" s="1" t="s">
        <v>203</v>
      </c>
      <c r="U1529" s="1">
        <v>21</v>
      </c>
      <c r="V1529" s="5">
        <v>42775</v>
      </c>
      <c r="W1529" s="5">
        <v>42292</v>
      </c>
      <c r="X1529" s="1">
        <v>3900000</v>
      </c>
      <c r="Y1529" s="1">
        <v>4200000</v>
      </c>
      <c r="Z1529" s="5">
        <v>42313</v>
      </c>
      <c r="AA1529" s="1">
        <v>3971175</v>
      </c>
      <c r="AB1529" s="1" t="s">
        <v>1162</v>
      </c>
      <c r="AC1529" s="5">
        <v>42803</v>
      </c>
      <c r="AF1529" s="1">
        <v>10010</v>
      </c>
      <c r="AJ1529" s="1">
        <v>1912</v>
      </c>
      <c r="AK1529" s="1" t="s">
        <v>81</v>
      </c>
      <c r="AL1529" s="1">
        <v>48</v>
      </c>
    </row>
    <row r="1530" spans="1:38" x14ac:dyDescent="0.2">
      <c r="A1530" s="2" t="str">
        <f>HYPERLINK("https://www.compass.com/listing/212-5th-avenue-unit-7c-manhattan-ny-10010/803379281643900337/","212 5th Ave, Unit 7C")</f>
        <v>212 5th Ave, Unit 7C</v>
      </c>
      <c r="B1530" s="2" t="str">
        <f t="shared" si="270"/>
        <v>212 5th Ave</v>
      </c>
      <c r="C1530" s="1" t="s">
        <v>95</v>
      </c>
      <c r="D1530" s="1" t="s">
        <v>41</v>
      </c>
      <c r="E1530" s="3">
        <v>4039058</v>
      </c>
      <c r="F1530" s="1">
        <v>2626.17577373211</v>
      </c>
      <c r="G1530" s="1">
        <v>6</v>
      </c>
      <c r="H1530" s="1">
        <v>2</v>
      </c>
      <c r="I1530" s="1">
        <v>3</v>
      </c>
      <c r="J1530" s="1">
        <v>2.5</v>
      </c>
      <c r="M1530" s="4">
        <v>1538</v>
      </c>
      <c r="N1530" s="1">
        <v>1471</v>
      </c>
      <c r="O1530" s="1">
        <v>3114</v>
      </c>
      <c r="P1530" s="1">
        <v>1643</v>
      </c>
      <c r="Q1530" s="1" t="s">
        <v>42</v>
      </c>
      <c r="S1530" s="1" t="s">
        <v>42</v>
      </c>
      <c r="T1530" s="1" t="s">
        <v>203</v>
      </c>
      <c r="U1530" s="1">
        <v>21</v>
      </c>
      <c r="V1530" s="5">
        <v>42775</v>
      </c>
      <c r="W1530" s="5">
        <v>42392</v>
      </c>
      <c r="X1530" s="1">
        <v>4100000</v>
      </c>
      <c r="Y1530" s="1">
        <v>4400000</v>
      </c>
      <c r="Z1530" s="5">
        <v>42454</v>
      </c>
      <c r="AA1530" s="1">
        <v>4039058.34</v>
      </c>
      <c r="AB1530" s="1" t="s">
        <v>1161</v>
      </c>
      <c r="AC1530" s="5">
        <v>42802</v>
      </c>
      <c r="AF1530" s="1">
        <v>10010</v>
      </c>
      <c r="AJ1530" s="1">
        <v>1912</v>
      </c>
      <c r="AK1530" s="1" t="s">
        <v>81</v>
      </c>
      <c r="AL1530" s="1">
        <v>48</v>
      </c>
    </row>
    <row r="1531" spans="1:38" x14ac:dyDescent="0.2">
      <c r="A1531" s="2" t="str">
        <f>HYPERLINK("https://www.compass.com/listing/212-5th-avenue-unit-3c-manhattan-ny-10010/803390532999132025/","212 5th Ave, Unit 3C")</f>
        <v>212 5th Ave, Unit 3C</v>
      </c>
      <c r="B1531" s="2" t="str">
        <f t="shared" si="270"/>
        <v>212 5th Ave</v>
      </c>
      <c r="C1531" s="1" t="s">
        <v>95</v>
      </c>
      <c r="D1531" s="1" t="s">
        <v>41</v>
      </c>
      <c r="E1531" s="3">
        <v>4327563</v>
      </c>
      <c r="F1531" s="1">
        <v>2802.8254533678701</v>
      </c>
      <c r="G1531" s="1">
        <v>5</v>
      </c>
      <c r="H1531" s="1">
        <v>2</v>
      </c>
      <c r="I1531" s="1">
        <v>3</v>
      </c>
      <c r="J1531" s="1">
        <v>2.5</v>
      </c>
      <c r="M1531" s="4">
        <v>1544</v>
      </c>
      <c r="N1531" s="1">
        <v>1442</v>
      </c>
      <c r="O1531" s="1">
        <v>3052</v>
      </c>
      <c r="P1531" s="1">
        <v>1610</v>
      </c>
      <c r="Q1531" s="1" t="s">
        <v>42</v>
      </c>
      <c r="S1531" s="1" t="s">
        <v>42</v>
      </c>
      <c r="T1531" s="1" t="s">
        <v>203</v>
      </c>
      <c r="V1531" s="5">
        <v>42775</v>
      </c>
      <c r="W1531" s="5">
        <v>42413</v>
      </c>
      <c r="X1531" s="1">
        <v>4250000</v>
      </c>
      <c r="Y1531" s="1">
        <v>4550000</v>
      </c>
      <c r="Z1531" s="5">
        <v>42413</v>
      </c>
      <c r="AA1531" s="1">
        <v>4327562.5</v>
      </c>
      <c r="AB1531" s="1" t="s">
        <v>1160</v>
      </c>
      <c r="AC1531" s="5">
        <v>42831</v>
      </c>
      <c r="AF1531" s="1">
        <v>10010</v>
      </c>
      <c r="AJ1531" s="1">
        <v>1912</v>
      </c>
      <c r="AK1531" s="1" t="s">
        <v>81</v>
      </c>
      <c r="AL1531" s="1">
        <v>48</v>
      </c>
    </row>
    <row r="1532" spans="1:38" x14ac:dyDescent="0.2">
      <c r="A1532" s="2" t="str">
        <f>HYPERLINK("https://www.compass.com/listing/212-5th-avenue-unit-4c-manhattan-ny-10010/29374774568414945/","212 5th Ave, Unit 4C")</f>
        <v>212 5th Ave, Unit 4C</v>
      </c>
      <c r="B1532" s="2" t="str">
        <f t="shared" si="270"/>
        <v>212 5th Ave</v>
      </c>
      <c r="C1532" s="1" t="s">
        <v>95</v>
      </c>
      <c r="D1532" s="1" t="s">
        <v>41</v>
      </c>
      <c r="E1532" s="3">
        <v>4378475</v>
      </c>
      <c r="F1532" s="1">
        <v>2835.79987046632</v>
      </c>
      <c r="G1532" s="1">
        <v>5</v>
      </c>
      <c r="H1532" s="1">
        <v>2</v>
      </c>
      <c r="I1532" s="1">
        <v>3</v>
      </c>
      <c r="J1532" s="1">
        <v>2.5</v>
      </c>
      <c r="K1532" s="1">
        <v>2</v>
      </c>
      <c r="L1532" s="1">
        <v>1</v>
      </c>
      <c r="M1532" s="4">
        <v>1544</v>
      </c>
      <c r="N1532" s="1">
        <v>1454</v>
      </c>
      <c r="O1532" s="1">
        <v>3078</v>
      </c>
      <c r="P1532" s="1">
        <v>1624</v>
      </c>
      <c r="Q1532" s="1" t="s">
        <v>42</v>
      </c>
      <c r="S1532" s="1" t="s">
        <v>42</v>
      </c>
      <c r="T1532" s="1" t="s">
        <v>203</v>
      </c>
      <c r="V1532" s="5">
        <v>43668</v>
      </c>
      <c r="W1532" s="5">
        <v>42649</v>
      </c>
      <c r="X1532" s="1">
        <v>4600000</v>
      </c>
      <c r="Y1532" s="1">
        <v>4600000</v>
      </c>
      <c r="Z1532" s="5">
        <v>42649</v>
      </c>
      <c r="AA1532" s="1">
        <v>4378475</v>
      </c>
      <c r="AB1532" s="1" t="s">
        <v>1165</v>
      </c>
      <c r="AC1532" s="5">
        <v>42816</v>
      </c>
      <c r="AF1532" s="1">
        <v>10010</v>
      </c>
      <c r="AJ1532" s="1">
        <v>1912</v>
      </c>
      <c r="AK1532" s="1" t="s">
        <v>81</v>
      </c>
      <c r="AL1532" s="1">
        <v>48</v>
      </c>
    </row>
    <row r="1533" spans="1:38" x14ac:dyDescent="0.2">
      <c r="A1533" s="2" t="str">
        <f>HYPERLINK("https://www.compass.com/listing/212-5th-avenue-unit-10c-manhattan-ny-10010/29374783795885185/","212 5th Ave, Unit 10C")</f>
        <v>212 5th Ave, Unit 10C</v>
      </c>
      <c r="B1533" s="2" t="str">
        <f t="shared" si="270"/>
        <v>212 5th Ave</v>
      </c>
      <c r="C1533" s="1" t="s">
        <v>95</v>
      </c>
      <c r="D1533" s="1" t="s">
        <v>41</v>
      </c>
      <c r="E1533" s="3">
        <v>4440150</v>
      </c>
      <c r="F1533" s="1">
        <v>2886.9635890767199</v>
      </c>
      <c r="G1533" s="1">
        <v>4</v>
      </c>
      <c r="H1533" s="1">
        <v>2</v>
      </c>
      <c r="I1533" s="1">
        <v>3</v>
      </c>
      <c r="J1533" s="1">
        <v>2.5</v>
      </c>
      <c r="K1533" s="1">
        <v>2</v>
      </c>
      <c r="L1533" s="1">
        <v>1</v>
      </c>
      <c r="M1533" s="4">
        <v>1538</v>
      </c>
      <c r="N1533" s="1">
        <v>1546</v>
      </c>
      <c r="O1533" s="1">
        <v>3272</v>
      </c>
      <c r="P1533" s="1">
        <v>1726</v>
      </c>
      <c r="Q1533" s="1" t="s">
        <v>42</v>
      </c>
      <c r="S1533" s="1" t="s">
        <v>42</v>
      </c>
      <c r="T1533" s="1" t="s">
        <v>203</v>
      </c>
      <c r="U1533" s="1">
        <v>22</v>
      </c>
      <c r="V1533" s="5">
        <v>43668</v>
      </c>
      <c r="W1533" s="5">
        <v>42649</v>
      </c>
      <c r="X1533" s="1">
        <v>4700000</v>
      </c>
      <c r="Y1533" s="1">
        <v>4700000</v>
      </c>
      <c r="Z1533" s="5">
        <v>42671</v>
      </c>
      <c r="AA1533" s="1">
        <v>4440150</v>
      </c>
      <c r="AB1533" s="1" t="s">
        <v>1166</v>
      </c>
      <c r="AC1533" s="5">
        <v>42788</v>
      </c>
      <c r="AF1533" s="1">
        <v>10010</v>
      </c>
      <c r="AJ1533" s="1">
        <v>1912</v>
      </c>
      <c r="AK1533" s="1" t="s">
        <v>81</v>
      </c>
      <c r="AL1533" s="1">
        <v>48</v>
      </c>
    </row>
    <row r="1534" spans="1:38" x14ac:dyDescent="0.2">
      <c r="A1534" s="2" t="str">
        <f>HYPERLINK("https://www.compass.com/listing/212-5th-avenue-unit-4c-manhattan-ny-10010/803350755477638113/","212 5th Ave, Unit 4C")</f>
        <v>212 5th Ave, Unit 4C</v>
      </c>
      <c r="B1534" s="2" t="str">
        <f t="shared" si="270"/>
        <v>212 5th Ave</v>
      </c>
      <c r="C1534" s="1" t="s">
        <v>95</v>
      </c>
      <c r="D1534" s="1" t="s">
        <v>41</v>
      </c>
      <c r="E1534" s="3">
        <v>4378475</v>
      </c>
      <c r="F1534" s="1">
        <v>2835.79987046632</v>
      </c>
      <c r="G1534" s="1">
        <v>5</v>
      </c>
      <c r="H1534" s="1">
        <v>2</v>
      </c>
      <c r="I1534" s="1">
        <v>3</v>
      </c>
      <c r="J1534" s="1">
        <v>2.5</v>
      </c>
      <c r="M1534" s="4">
        <v>1544</v>
      </c>
      <c r="N1534" s="1">
        <v>1454</v>
      </c>
      <c r="O1534" s="1">
        <v>3078</v>
      </c>
      <c r="P1534" s="1">
        <v>1624</v>
      </c>
      <c r="Q1534" s="1" t="s">
        <v>42</v>
      </c>
      <c r="S1534" s="1" t="s">
        <v>42</v>
      </c>
      <c r="T1534" s="1" t="s">
        <v>203</v>
      </c>
      <c r="V1534" s="5">
        <v>42775</v>
      </c>
      <c r="W1534" s="5">
        <v>42314</v>
      </c>
      <c r="X1534" s="1">
        <v>4300000</v>
      </c>
      <c r="Y1534" s="1">
        <v>4600000</v>
      </c>
      <c r="Z1534" s="5">
        <v>42314</v>
      </c>
      <c r="AA1534" s="1">
        <v>4378475</v>
      </c>
      <c r="AB1534" s="1" t="s">
        <v>1165</v>
      </c>
      <c r="AC1534" s="5">
        <v>42816</v>
      </c>
      <c r="AF1534" s="1">
        <v>10010</v>
      </c>
      <c r="AJ1534" s="1">
        <v>1912</v>
      </c>
      <c r="AK1534" s="1" t="s">
        <v>81</v>
      </c>
      <c r="AL1534" s="1">
        <v>48</v>
      </c>
    </row>
    <row r="1535" spans="1:38" x14ac:dyDescent="0.2">
      <c r="A1535" s="2" t="str">
        <f>HYPERLINK("https://www.compass.com/listing/212-5th-avenue-unit-10c-manhattan-ny-10010/803396526902506057/","212 5th Ave, Unit 10C")</f>
        <v>212 5th Ave, Unit 10C</v>
      </c>
      <c r="B1535" s="2" t="str">
        <f t="shared" si="270"/>
        <v>212 5th Ave</v>
      </c>
      <c r="C1535" s="1" t="s">
        <v>95</v>
      </c>
      <c r="D1535" s="1" t="s">
        <v>41</v>
      </c>
      <c r="E1535" s="3">
        <v>4440150</v>
      </c>
      <c r="F1535" s="1">
        <v>2886.9635890767199</v>
      </c>
      <c r="G1535" s="1">
        <v>6</v>
      </c>
      <c r="H1535" s="1">
        <v>2</v>
      </c>
      <c r="I1535" s="1">
        <v>3</v>
      </c>
      <c r="J1535" s="1">
        <v>2.5</v>
      </c>
      <c r="M1535" s="4">
        <v>1538</v>
      </c>
      <c r="N1535" s="1">
        <v>1546</v>
      </c>
      <c r="O1535" s="1">
        <v>3272</v>
      </c>
      <c r="P1535" s="1">
        <v>1726</v>
      </c>
      <c r="Q1535" s="1" t="s">
        <v>42</v>
      </c>
      <c r="S1535" s="1" t="s">
        <v>42</v>
      </c>
      <c r="T1535" s="1" t="s">
        <v>203</v>
      </c>
      <c r="U1535" s="1">
        <v>321</v>
      </c>
      <c r="V1535" s="5">
        <v>42775</v>
      </c>
      <c r="W1535" s="5">
        <v>42454</v>
      </c>
      <c r="X1535" s="1">
        <v>4700000</v>
      </c>
      <c r="Y1535" s="1">
        <v>4700000</v>
      </c>
      <c r="AA1535" s="1">
        <v>4440150</v>
      </c>
      <c r="AB1535" s="1" t="s">
        <v>1166</v>
      </c>
      <c r="AC1535" s="5">
        <v>42788</v>
      </c>
      <c r="AF1535" s="1">
        <v>10010</v>
      </c>
      <c r="AJ1535" s="1">
        <v>1912</v>
      </c>
      <c r="AK1535" s="1" t="s">
        <v>81</v>
      </c>
      <c r="AL1535" s="1">
        <v>48</v>
      </c>
    </row>
    <row r="1536" spans="1:38" x14ac:dyDescent="0.2">
      <c r="A1536" s="2" t="str">
        <f>HYPERLINK("https://www.compass.com/listing/212-5th-avenue-unit-3a-manhattan-ny-10010/181061892217893233/","212 5th Ave, Unit 3A")</f>
        <v>212 5th Ave, Unit 3A</v>
      </c>
      <c r="B1536" s="2" t="str">
        <f t="shared" si="270"/>
        <v>212 5th Ave</v>
      </c>
      <c r="C1536" s="1" t="s">
        <v>95</v>
      </c>
      <c r="D1536" s="1" t="s">
        <v>41</v>
      </c>
      <c r="E1536" s="3">
        <v>10850000</v>
      </c>
      <c r="F1536" s="1">
        <v>3614.2571618920701</v>
      </c>
      <c r="G1536" s="1">
        <v>5</v>
      </c>
      <c r="H1536" s="1">
        <v>3</v>
      </c>
      <c r="I1536" s="1">
        <v>4</v>
      </c>
      <c r="J1536" s="1">
        <v>3.5</v>
      </c>
      <c r="K1536" s="1">
        <v>3</v>
      </c>
      <c r="L1536" s="1">
        <v>1</v>
      </c>
      <c r="M1536" s="4">
        <v>3002</v>
      </c>
      <c r="N1536" s="1">
        <v>3553</v>
      </c>
      <c r="O1536" s="1">
        <v>7520</v>
      </c>
      <c r="P1536" s="1">
        <v>3967</v>
      </c>
      <c r="Q1536" s="1" t="s">
        <v>42</v>
      </c>
      <c r="S1536" s="1" t="s">
        <v>42</v>
      </c>
      <c r="T1536" s="1" t="s">
        <v>203</v>
      </c>
      <c r="V1536" s="5">
        <v>43664</v>
      </c>
      <c r="W1536" s="5">
        <v>42649</v>
      </c>
      <c r="X1536" s="1">
        <v>10950000</v>
      </c>
      <c r="Y1536" s="1">
        <v>10950000</v>
      </c>
      <c r="Z1536" s="5">
        <v>42649</v>
      </c>
      <c r="AA1536" s="1">
        <v>10850000</v>
      </c>
      <c r="AB1536" s="1" t="s">
        <v>1167</v>
      </c>
      <c r="AC1536" s="5">
        <v>42814</v>
      </c>
      <c r="AF1536" s="1">
        <v>10010</v>
      </c>
      <c r="AJ1536" s="1">
        <v>1912</v>
      </c>
      <c r="AK1536" s="1" t="s">
        <v>81</v>
      </c>
      <c r="AL1536" s="1">
        <v>48</v>
      </c>
    </row>
    <row r="1537" spans="1:38" x14ac:dyDescent="0.2">
      <c r="A1537" s="2" t="str">
        <f>HYPERLINK("https://www.compass.com/listing/212-5th-avenue-unit-4a-manhattan-ny-10010/206529290618121601/","212 5th Ave, Unit 4A")</f>
        <v>212 5th Ave, Unit 4A</v>
      </c>
      <c r="B1537" s="2" t="str">
        <f t="shared" si="270"/>
        <v>212 5th Ave</v>
      </c>
      <c r="C1537" s="1" t="s">
        <v>95</v>
      </c>
      <c r="D1537" s="1" t="s">
        <v>41</v>
      </c>
      <c r="E1537" s="3">
        <v>11000000</v>
      </c>
      <c r="F1537" s="1">
        <v>3664.22385076615</v>
      </c>
      <c r="G1537" s="1">
        <v>7</v>
      </c>
      <c r="H1537" s="1">
        <v>3</v>
      </c>
      <c r="I1537" s="1">
        <v>4</v>
      </c>
      <c r="J1537" s="1">
        <v>3.5</v>
      </c>
      <c r="K1537" s="1">
        <v>3</v>
      </c>
      <c r="L1537" s="1">
        <v>1</v>
      </c>
      <c r="M1537" s="4">
        <v>3002</v>
      </c>
      <c r="N1537" s="1">
        <v>3565</v>
      </c>
      <c r="O1537" s="1">
        <v>7546</v>
      </c>
      <c r="P1537" s="1">
        <v>3981</v>
      </c>
      <c r="Q1537" s="1" t="s">
        <v>42</v>
      </c>
      <c r="S1537" s="1" t="s">
        <v>42</v>
      </c>
      <c r="T1537" s="1" t="s">
        <v>203</v>
      </c>
      <c r="V1537" s="5">
        <v>43664</v>
      </c>
      <c r="W1537" s="5">
        <v>42649</v>
      </c>
      <c r="X1537" s="1">
        <v>11000000</v>
      </c>
      <c r="Y1537" s="1">
        <v>11000000</v>
      </c>
      <c r="Z1537" s="5">
        <v>42649</v>
      </c>
      <c r="AA1537" s="1">
        <v>11000000</v>
      </c>
      <c r="AB1537" s="1" t="s">
        <v>1168</v>
      </c>
      <c r="AC1537" s="5">
        <v>42818</v>
      </c>
      <c r="AF1537" s="1">
        <v>10010</v>
      </c>
      <c r="AJ1537" s="1">
        <v>1912</v>
      </c>
      <c r="AK1537" s="1" t="s">
        <v>81</v>
      </c>
      <c r="AL1537" s="1">
        <v>48</v>
      </c>
    </row>
    <row r="1538" spans="1:38" x14ac:dyDescent="0.2">
      <c r="A1538" s="2" t="str">
        <f>HYPERLINK("https://www.compass.com/listing/212-5th-avenue-unit-7a-manhattan-ny-10010/206529291255655921/","212 5th Ave, Unit 7A")</f>
        <v>212 5th Ave, Unit 7A</v>
      </c>
      <c r="B1538" s="2" t="str">
        <f t="shared" si="270"/>
        <v>212 5th Ave</v>
      </c>
      <c r="C1538" s="1" t="s">
        <v>95</v>
      </c>
      <c r="D1538" s="1" t="s">
        <v>41</v>
      </c>
      <c r="E1538" s="3">
        <v>10900000</v>
      </c>
      <c r="F1538" s="1">
        <v>3623.6702127659501</v>
      </c>
      <c r="G1538" s="1">
        <v>7</v>
      </c>
      <c r="H1538" s="1">
        <v>3</v>
      </c>
      <c r="I1538" s="1">
        <v>4</v>
      </c>
      <c r="J1538" s="1">
        <v>3.5</v>
      </c>
      <c r="K1538" s="1">
        <v>3</v>
      </c>
      <c r="L1538" s="1">
        <v>1</v>
      </c>
      <c r="M1538" s="4">
        <v>3008</v>
      </c>
      <c r="N1538" s="1">
        <v>3617</v>
      </c>
      <c r="O1538" s="1">
        <v>7655</v>
      </c>
      <c r="P1538" s="1">
        <v>4038</v>
      </c>
      <c r="Q1538" s="1" t="s">
        <v>42</v>
      </c>
      <c r="S1538" s="1" t="s">
        <v>42</v>
      </c>
      <c r="T1538" s="1" t="s">
        <v>203</v>
      </c>
      <c r="V1538" s="5">
        <v>43666</v>
      </c>
      <c r="W1538" s="5">
        <v>42649</v>
      </c>
      <c r="X1538" s="1">
        <v>10900000</v>
      </c>
      <c r="Y1538" s="1">
        <v>10900000</v>
      </c>
      <c r="Z1538" s="5">
        <v>42649</v>
      </c>
      <c r="AA1538" s="1">
        <v>10900000</v>
      </c>
      <c r="AB1538" s="1" t="s">
        <v>1169</v>
      </c>
      <c r="AC1538" s="5">
        <v>42781</v>
      </c>
      <c r="AF1538" s="1">
        <v>10010</v>
      </c>
      <c r="AJ1538" s="1">
        <v>1912</v>
      </c>
      <c r="AK1538" s="1" t="s">
        <v>81</v>
      </c>
      <c r="AL1538" s="1">
        <v>48</v>
      </c>
    </row>
    <row r="1539" spans="1:38" x14ac:dyDescent="0.2">
      <c r="A1539" s="2" t="str">
        <f>HYPERLINK("https://www.compass.com/listing/212-5th-avenue-unit-6a-manhattan-ny-10010/29374777034666929/","212 5th Ave, Unit 6A")</f>
        <v>212 5th Ave, Unit 6A</v>
      </c>
      <c r="B1539" s="2" t="str">
        <f t="shared" si="270"/>
        <v>212 5th Ave</v>
      </c>
      <c r="C1539" s="1" t="s">
        <v>95</v>
      </c>
      <c r="D1539" s="1" t="s">
        <v>41</v>
      </c>
      <c r="E1539" s="3">
        <v>10797638</v>
      </c>
      <c r="F1539" s="1">
        <v>3589.6402925531902</v>
      </c>
      <c r="G1539" s="1">
        <v>5</v>
      </c>
      <c r="H1539" s="1">
        <v>3</v>
      </c>
      <c r="I1539" s="1">
        <v>4</v>
      </c>
      <c r="J1539" s="1">
        <v>3.5</v>
      </c>
      <c r="K1539" s="1">
        <v>3</v>
      </c>
      <c r="L1539" s="1">
        <v>1</v>
      </c>
      <c r="M1539" s="4">
        <v>3008</v>
      </c>
      <c r="N1539" s="1">
        <v>3555</v>
      </c>
      <c r="O1539" s="1">
        <v>7524</v>
      </c>
      <c r="P1539" s="1">
        <v>3969</v>
      </c>
      <c r="Q1539" s="1" t="s">
        <v>42</v>
      </c>
      <c r="S1539" s="1" t="s">
        <v>42</v>
      </c>
      <c r="T1539" s="1" t="s">
        <v>203</v>
      </c>
      <c r="V1539" s="5">
        <v>43665</v>
      </c>
      <c r="W1539" s="5">
        <v>42649</v>
      </c>
      <c r="X1539" s="1">
        <v>10700000</v>
      </c>
      <c r="Y1539" s="1">
        <v>10700000</v>
      </c>
      <c r="Z1539" s="5">
        <v>42649</v>
      </c>
      <c r="AA1539" s="1">
        <v>10797638</v>
      </c>
      <c r="AB1539" s="1" t="s">
        <v>1170</v>
      </c>
      <c r="AC1539" s="5">
        <v>42782</v>
      </c>
      <c r="AF1539" s="1">
        <v>10010</v>
      </c>
      <c r="AJ1539" s="1">
        <v>1912</v>
      </c>
      <c r="AK1539" s="1" t="s">
        <v>81</v>
      </c>
      <c r="AL1539" s="1">
        <v>48</v>
      </c>
    </row>
    <row r="1540" spans="1:38" x14ac:dyDescent="0.2">
      <c r="A1540" s="2" t="str">
        <f>HYPERLINK("https://www.compass.com/listing/212-5th-avenue-unit-8a-manhattan-ny-10010/801632080802985761/","212 5th Ave, Unit 8A")</f>
        <v>212 5th Ave, Unit 8A</v>
      </c>
      <c r="B1540" s="2" t="str">
        <f t="shared" si="270"/>
        <v>212 5th Ave</v>
      </c>
      <c r="C1540" s="1" t="s">
        <v>95</v>
      </c>
      <c r="D1540" s="1" t="s">
        <v>41</v>
      </c>
      <c r="E1540" s="3">
        <v>11000000</v>
      </c>
      <c r="F1540" s="1">
        <v>3656.91489361702</v>
      </c>
      <c r="G1540" s="1">
        <v>5</v>
      </c>
      <c r="H1540" s="1">
        <v>3</v>
      </c>
      <c r="I1540" s="1">
        <v>4</v>
      </c>
      <c r="J1540" s="1">
        <v>3.5</v>
      </c>
      <c r="K1540" s="1">
        <v>3</v>
      </c>
      <c r="L1540" s="1">
        <v>1</v>
      </c>
      <c r="M1540" s="4">
        <v>3008</v>
      </c>
      <c r="N1540" s="1">
        <v>3679.6</v>
      </c>
      <c r="O1540" s="1">
        <v>7787.6399999999903</v>
      </c>
      <c r="P1540" s="1">
        <v>4108</v>
      </c>
      <c r="Q1540" s="1" t="s">
        <v>42</v>
      </c>
      <c r="S1540" s="1" t="s">
        <v>42</v>
      </c>
      <c r="T1540" s="1" t="s">
        <v>203</v>
      </c>
      <c r="U1540" s="1">
        <v>82</v>
      </c>
      <c r="V1540" s="5">
        <v>42761</v>
      </c>
      <c r="W1540" s="5">
        <v>42678</v>
      </c>
      <c r="X1540" s="1">
        <v>11100000</v>
      </c>
      <c r="Y1540" s="1">
        <v>11100000</v>
      </c>
      <c r="AA1540" s="1">
        <v>11000000</v>
      </c>
      <c r="AB1540" s="1" t="s">
        <v>1144</v>
      </c>
      <c r="AC1540" s="5">
        <v>42849</v>
      </c>
      <c r="AF1540" s="1">
        <v>10010</v>
      </c>
      <c r="AJ1540" s="1">
        <v>1912</v>
      </c>
      <c r="AK1540" s="1" t="s">
        <v>81</v>
      </c>
      <c r="AL1540" s="1">
        <v>48</v>
      </c>
    </row>
    <row r="1541" spans="1:38" x14ac:dyDescent="0.2">
      <c r="A1541" s="2" t="str">
        <f>HYPERLINK("https://www.compass.com/listing/308-west-30th-street-unit-3b-manhattan-ny-10001/268828326909497889/","308 W 30th St, Unit 3B")</f>
        <v>308 W 30th St, Unit 3B</v>
      </c>
      <c r="B1541" s="2" t="str">
        <f t="shared" ref="B1541:B1544" si="271">HYPERLINK("https://www.compass.com/building/the-irvin-house-manhattan-ny/281883290133070869/","The Irvin House")</f>
        <v>The Irvin House</v>
      </c>
      <c r="C1541" s="1" t="s">
        <v>62</v>
      </c>
      <c r="D1541" s="1" t="s">
        <v>41</v>
      </c>
      <c r="E1541" s="3">
        <v>976500</v>
      </c>
      <c r="F1541" s="1">
        <v>1335.84131326949</v>
      </c>
      <c r="G1541" s="1">
        <v>4</v>
      </c>
      <c r="H1541" s="1">
        <v>2</v>
      </c>
      <c r="I1541" s="1">
        <v>1</v>
      </c>
      <c r="J1541" s="1">
        <v>1</v>
      </c>
      <c r="K1541" s="1">
        <v>1</v>
      </c>
      <c r="M1541" s="1">
        <v>731</v>
      </c>
      <c r="N1541" s="1">
        <v>589.95000000000005</v>
      </c>
      <c r="O1541" s="1">
        <v>1484.91</v>
      </c>
      <c r="P1541" s="1">
        <v>895</v>
      </c>
      <c r="Q1541" s="1" t="s">
        <v>42</v>
      </c>
      <c r="S1541" s="1" t="s">
        <v>42</v>
      </c>
      <c r="T1541" s="1" t="s">
        <v>203</v>
      </c>
      <c r="U1541" s="1">
        <v>25</v>
      </c>
      <c r="V1541" s="5">
        <v>43683</v>
      </c>
      <c r="W1541" s="5">
        <v>43623</v>
      </c>
      <c r="X1541" s="1">
        <v>985000</v>
      </c>
      <c r="Y1541" s="1">
        <v>985000</v>
      </c>
      <c r="Z1541" s="5">
        <v>43648</v>
      </c>
      <c r="AA1541" s="1">
        <v>976500</v>
      </c>
      <c r="AB1541" s="1" t="s">
        <v>1171</v>
      </c>
      <c r="AC1541" s="5">
        <v>43670</v>
      </c>
      <c r="AF1541" s="1">
        <v>10001</v>
      </c>
      <c r="AI1541" s="1" t="s">
        <v>315</v>
      </c>
      <c r="AJ1541" s="1">
        <v>1925</v>
      </c>
      <c r="AL1541" s="1">
        <v>61</v>
      </c>
    </row>
    <row r="1542" spans="1:38" x14ac:dyDescent="0.2">
      <c r="A1542" s="2" t="str">
        <f>HYPERLINK("https://www.compass.com/listing/308-west-30th-street-unit-8b-manhattan-ny-10001/268833825180725313/","308 W 30th St, Unit 8B")</f>
        <v>308 W 30th St, Unit 8B</v>
      </c>
      <c r="B1542" s="2" t="str">
        <f t="shared" si="271"/>
        <v>The Irvin House</v>
      </c>
      <c r="C1542" s="1" t="s">
        <v>62</v>
      </c>
      <c r="D1542" s="1" t="s">
        <v>41</v>
      </c>
      <c r="E1542" s="3">
        <v>997500</v>
      </c>
      <c r="F1542" s="1">
        <v>1364.5690834473301</v>
      </c>
      <c r="G1542" s="1">
        <v>4</v>
      </c>
      <c r="H1542" s="1">
        <v>2</v>
      </c>
      <c r="I1542" s="1">
        <v>1</v>
      </c>
      <c r="J1542" s="1">
        <v>1</v>
      </c>
      <c r="K1542" s="1">
        <v>1</v>
      </c>
      <c r="M1542" s="1">
        <v>731</v>
      </c>
      <c r="N1542" s="1">
        <v>621.78</v>
      </c>
      <c r="O1542" s="1">
        <v>1566.13</v>
      </c>
      <c r="P1542" s="1">
        <v>944.33333333333303</v>
      </c>
      <c r="Q1542" s="1" t="s">
        <v>42</v>
      </c>
      <c r="S1542" s="1" t="s">
        <v>42</v>
      </c>
      <c r="T1542" s="1" t="s">
        <v>203</v>
      </c>
      <c r="U1542" s="1">
        <v>55</v>
      </c>
      <c r="V1542" s="5">
        <v>43731</v>
      </c>
      <c r="W1542" s="5">
        <v>43623</v>
      </c>
      <c r="X1542" s="1">
        <v>1050000</v>
      </c>
      <c r="Y1542" s="1">
        <v>1050000</v>
      </c>
      <c r="Z1542" s="5">
        <v>43678</v>
      </c>
      <c r="AA1542" s="1">
        <v>997500</v>
      </c>
      <c r="AB1542" s="1" t="s">
        <v>1172</v>
      </c>
      <c r="AC1542" s="5">
        <v>43719</v>
      </c>
      <c r="AF1542" s="1">
        <v>10001</v>
      </c>
      <c r="AI1542" s="1" t="s">
        <v>99</v>
      </c>
      <c r="AJ1542" s="1">
        <v>1925</v>
      </c>
      <c r="AL1542" s="1">
        <v>61</v>
      </c>
    </row>
    <row r="1543" spans="1:38" x14ac:dyDescent="0.2">
      <c r="A1543" s="2" t="str">
        <f>HYPERLINK("https://www.compass.com/listing/308-west-30th-street-unit-5a-manhattan-ny-10001/29510360461592577/","308 W 30th St, Unit 5A")</f>
        <v>308 W 30th St, Unit 5A</v>
      </c>
      <c r="B1543" s="2" t="str">
        <f t="shared" si="271"/>
        <v>The Irvin House</v>
      </c>
      <c r="C1543" s="1" t="s">
        <v>62</v>
      </c>
      <c r="D1543" s="1" t="s">
        <v>41</v>
      </c>
      <c r="E1543" s="3">
        <v>789143</v>
      </c>
      <c r="F1543" s="1">
        <v>1404.1690391458999</v>
      </c>
      <c r="G1543" s="1">
        <v>3</v>
      </c>
      <c r="H1543" s="1">
        <v>1</v>
      </c>
      <c r="I1543" s="1">
        <v>1</v>
      </c>
      <c r="J1543" s="1">
        <v>1</v>
      </c>
      <c r="K1543" s="1">
        <v>1</v>
      </c>
      <c r="M1543" s="1">
        <v>562</v>
      </c>
      <c r="N1543" s="1">
        <v>437</v>
      </c>
      <c r="O1543" s="1">
        <v>1103</v>
      </c>
      <c r="P1543" s="1">
        <v>666</v>
      </c>
      <c r="Q1543" s="1" t="s">
        <v>42</v>
      </c>
      <c r="S1543" s="1" t="s">
        <v>42</v>
      </c>
      <c r="T1543" s="1" t="s">
        <v>203</v>
      </c>
      <c r="U1543" s="1">
        <v>288</v>
      </c>
      <c r="V1543" s="5">
        <v>43694</v>
      </c>
      <c r="W1543" s="5">
        <v>43250</v>
      </c>
      <c r="X1543" s="1">
        <v>920000</v>
      </c>
      <c r="Y1543" s="1">
        <v>775000</v>
      </c>
      <c r="Z1543" s="5">
        <v>43538</v>
      </c>
      <c r="AA1543" s="1">
        <v>789143</v>
      </c>
      <c r="AB1543" s="1" t="s">
        <v>1173</v>
      </c>
      <c r="AC1543" s="5">
        <v>43635</v>
      </c>
      <c r="AF1543" s="1">
        <v>10001</v>
      </c>
      <c r="AI1543" s="1" t="s">
        <v>315</v>
      </c>
      <c r="AJ1543" s="1">
        <v>1925</v>
      </c>
      <c r="AL1543" s="1">
        <v>61</v>
      </c>
    </row>
    <row r="1544" spans="1:38" x14ac:dyDescent="0.2">
      <c r="A1544" s="2" t="str">
        <f>HYPERLINK("https://www.compass.com/listing/308-west-30th-street-unit-7c-manhattan-ny-10001/29510362474858561/","308 W 30th St, Unit 7C")</f>
        <v>308 W 30th St, Unit 7C</v>
      </c>
      <c r="B1544" s="2" t="str">
        <f t="shared" si="271"/>
        <v>The Irvin House</v>
      </c>
      <c r="C1544" s="1" t="s">
        <v>62</v>
      </c>
      <c r="D1544" s="1" t="s">
        <v>41</v>
      </c>
      <c r="E1544" s="3">
        <v>875695</v>
      </c>
      <c r="F1544" s="1">
        <v>1486.7487266553401</v>
      </c>
      <c r="G1544" s="1">
        <v>3</v>
      </c>
      <c r="H1544" s="1">
        <v>1</v>
      </c>
      <c r="I1544" s="1">
        <v>1</v>
      </c>
      <c r="J1544" s="1">
        <v>1</v>
      </c>
      <c r="K1544" s="1">
        <v>1</v>
      </c>
      <c r="M1544" s="1">
        <v>589</v>
      </c>
      <c r="N1544" s="1">
        <v>465.06</v>
      </c>
      <c r="O1544" s="1">
        <v>1116.71</v>
      </c>
      <c r="P1544" s="1">
        <v>651.66666666666595</v>
      </c>
      <c r="Q1544" s="1" t="s">
        <v>42</v>
      </c>
      <c r="S1544" s="1" t="s">
        <v>42</v>
      </c>
      <c r="T1544" s="1" t="s">
        <v>203</v>
      </c>
      <c r="U1544" s="1">
        <v>72</v>
      </c>
      <c r="V1544" s="5">
        <v>43647</v>
      </c>
      <c r="W1544" s="5">
        <v>43250</v>
      </c>
      <c r="X1544" s="1">
        <v>950000</v>
      </c>
      <c r="Y1544" s="1">
        <v>895500</v>
      </c>
      <c r="Z1544" s="5">
        <v>43322</v>
      </c>
      <c r="AA1544" s="1">
        <v>875695</v>
      </c>
      <c r="AB1544" s="1" t="s">
        <v>1174</v>
      </c>
      <c r="AC1544" s="5">
        <v>43385</v>
      </c>
      <c r="AF1544" s="1">
        <v>10001</v>
      </c>
      <c r="AI1544" s="1" t="s">
        <v>315</v>
      </c>
      <c r="AJ1544" s="1">
        <v>1925</v>
      </c>
      <c r="AL1544" s="1">
        <v>61</v>
      </c>
    </row>
    <row r="1545" spans="1:38" x14ac:dyDescent="0.2">
      <c r="A1545" s="2" t="str">
        <f>HYPERLINK("https://www.compass.com/listing/212-5th-avenue-unit-4b-manhattan-ny-10010/181061984005919665/","212 5th Ave, Unit 4B")</f>
        <v>212 5th Ave, Unit 4B</v>
      </c>
      <c r="B1545" s="2" t="str">
        <f t="shared" ref="B1545:B1566" si="272">HYPERLINK("https://www.compass.com/building/212-5th-ave-manhattan-ny-10010/281902136567020981/","212 5th Ave")</f>
        <v>212 5th Ave</v>
      </c>
      <c r="C1545" s="1" t="s">
        <v>95</v>
      </c>
      <c r="D1545" s="1" t="s">
        <v>41</v>
      </c>
      <c r="E1545" s="3">
        <v>6666250</v>
      </c>
      <c r="F1545" s="1">
        <v>2475.3991830672098</v>
      </c>
      <c r="G1545" s="1">
        <v>7</v>
      </c>
      <c r="H1545" s="1">
        <v>3</v>
      </c>
      <c r="I1545" s="1">
        <v>4</v>
      </c>
      <c r="J1545" s="1">
        <v>3.5</v>
      </c>
      <c r="K1545" s="1">
        <v>3</v>
      </c>
      <c r="L1545" s="1">
        <v>1</v>
      </c>
      <c r="M1545" s="4">
        <v>2693</v>
      </c>
      <c r="N1545" s="1">
        <v>2614</v>
      </c>
      <c r="O1545" s="1">
        <v>5532</v>
      </c>
      <c r="P1545" s="1">
        <v>2918</v>
      </c>
      <c r="Q1545" s="1" t="s">
        <v>42</v>
      </c>
      <c r="S1545" s="1" t="s">
        <v>42</v>
      </c>
      <c r="T1545" s="1" t="s">
        <v>203</v>
      </c>
      <c r="V1545" s="5">
        <v>43668</v>
      </c>
      <c r="W1545" s="5">
        <v>42649</v>
      </c>
      <c r="X1545" s="1">
        <v>7050000</v>
      </c>
      <c r="Y1545" s="1">
        <v>7050000</v>
      </c>
      <c r="Z1545" s="5">
        <v>42649</v>
      </c>
      <c r="AA1545" s="1">
        <v>6666250</v>
      </c>
      <c r="AB1545" s="1" t="s">
        <v>1175</v>
      </c>
      <c r="AC1545" s="5">
        <v>42823</v>
      </c>
      <c r="AF1545" s="1">
        <v>10010</v>
      </c>
      <c r="AJ1545" s="1">
        <v>1912</v>
      </c>
      <c r="AK1545" s="1" t="s">
        <v>81</v>
      </c>
      <c r="AL1545" s="1">
        <v>48</v>
      </c>
    </row>
    <row r="1546" spans="1:38" x14ac:dyDescent="0.2">
      <c r="A1546" s="2" t="str">
        <f>HYPERLINK("https://www.compass.com/listing/212-5th-avenue-unit-5b-manhattan-ny-10010/181062203619799713/","212 5th Ave, Unit 5B")</f>
        <v>212 5th Ave, Unit 5B</v>
      </c>
      <c r="B1546" s="2" t="str">
        <f t="shared" si="272"/>
        <v>212 5th Ave</v>
      </c>
      <c r="C1546" s="1" t="s">
        <v>95</v>
      </c>
      <c r="D1546" s="1" t="s">
        <v>41</v>
      </c>
      <c r="E1546" s="3">
        <v>6669538</v>
      </c>
      <c r="F1546" s="1">
        <v>2476.62012625324</v>
      </c>
      <c r="G1546" s="1">
        <v>7</v>
      </c>
      <c r="H1546" s="1">
        <v>3</v>
      </c>
      <c r="I1546" s="1">
        <v>4</v>
      </c>
      <c r="J1546" s="1">
        <v>3.5</v>
      </c>
      <c r="K1546" s="1">
        <v>3</v>
      </c>
      <c r="L1546" s="1">
        <v>1</v>
      </c>
      <c r="M1546" s="4">
        <v>2693</v>
      </c>
      <c r="N1546" s="1">
        <v>2564</v>
      </c>
      <c r="O1546" s="1">
        <v>5427</v>
      </c>
      <c r="P1546" s="1">
        <v>2863</v>
      </c>
      <c r="Q1546" s="1" t="s">
        <v>42</v>
      </c>
      <c r="S1546" s="1" t="s">
        <v>42</v>
      </c>
      <c r="T1546" s="1" t="s">
        <v>203</v>
      </c>
      <c r="V1546" s="5">
        <v>43664</v>
      </c>
      <c r="W1546" s="5">
        <v>42649</v>
      </c>
      <c r="X1546" s="1">
        <v>6550000</v>
      </c>
      <c r="Y1546" s="1">
        <v>6550000</v>
      </c>
      <c r="Z1546" s="5">
        <v>42649</v>
      </c>
      <c r="AA1546" s="1">
        <v>6669538</v>
      </c>
      <c r="AB1546" s="1" t="s">
        <v>1176</v>
      </c>
      <c r="AC1546" s="5">
        <v>42830</v>
      </c>
      <c r="AF1546" s="1">
        <v>10010</v>
      </c>
      <c r="AJ1546" s="1">
        <v>1912</v>
      </c>
      <c r="AK1546" s="1" t="s">
        <v>81</v>
      </c>
      <c r="AL1546" s="1">
        <v>48</v>
      </c>
    </row>
    <row r="1547" spans="1:38" x14ac:dyDescent="0.2">
      <c r="A1547" s="2" t="str">
        <f>HYPERLINK("https://www.compass.com/listing/212-5th-avenue-unit-7b-manhattan-ny-10010/206529293377973873/","212 5th Ave, Unit 7B")</f>
        <v>212 5th Ave, Unit 7B</v>
      </c>
      <c r="B1547" s="2" t="str">
        <f t="shared" si="272"/>
        <v>212 5th Ave</v>
      </c>
      <c r="C1547" s="1" t="s">
        <v>95</v>
      </c>
      <c r="D1547" s="1" t="s">
        <v>41</v>
      </c>
      <c r="E1547" s="3">
        <v>6975013</v>
      </c>
      <c r="F1547" s="1">
        <v>2590.0531006312599</v>
      </c>
      <c r="G1547" s="1">
        <v>7</v>
      </c>
      <c r="H1547" s="1">
        <v>3</v>
      </c>
      <c r="I1547" s="1">
        <v>4</v>
      </c>
      <c r="J1547" s="1">
        <v>3.5</v>
      </c>
      <c r="K1547" s="1">
        <v>3</v>
      </c>
      <c r="L1547" s="1">
        <v>1</v>
      </c>
      <c r="M1547" s="4">
        <v>2693</v>
      </c>
      <c r="N1547" s="1">
        <v>2639</v>
      </c>
      <c r="O1547" s="1">
        <v>5585</v>
      </c>
      <c r="P1547" s="1">
        <v>2946</v>
      </c>
      <c r="Q1547" s="1" t="s">
        <v>42</v>
      </c>
      <c r="S1547" s="1" t="s">
        <v>42</v>
      </c>
      <c r="T1547" s="1" t="s">
        <v>203</v>
      </c>
      <c r="V1547" s="5">
        <v>43665</v>
      </c>
      <c r="W1547" s="5">
        <v>42649</v>
      </c>
      <c r="X1547" s="1">
        <v>6850000</v>
      </c>
      <c r="Y1547" s="1">
        <v>6850000</v>
      </c>
      <c r="Z1547" s="5">
        <v>42649</v>
      </c>
      <c r="AA1547" s="1">
        <v>6975013</v>
      </c>
      <c r="AB1547" s="1" t="s">
        <v>1177</v>
      </c>
      <c r="AC1547" s="5">
        <v>42784</v>
      </c>
      <c r="AF1547" s="1">
        <v>10010</v>
      </c>
      <c r="AJ1547" s="1">
        <v>1912</v>
      </c>
      <c r="AK1547" s="1" t="s">
        <v>81</v>
      </c>
      <c r="AL1547" s="1">
        <v>48</v>
      </c>
    </row>
    <row r="1548" spans="1:38" x14ac:dyDescent="0.2">
      <c r="A1548" s="2" t="str">
        <f>HYPERLINK("https://www.compass.com/listing/212-5th-avenue-unit-3b-manhattan-ny-10010/29374772269880993/","212 5th Ave, Unit 3B")</f>
        <v>212 5th Ave, Unit 3B</v>
      </c>
      <c r="B1548" s="2" t="str">
        <f t="shared" si="272"/>
        <v>212 5th Ave</v>
      </c>
      <c r="C1548" s="1" t="s">
        <v>95</v>
      </c>
      <c r="D1548" s="1" t="s">
        <v>41</v>
      </c>
      <c r="E1548" s="3">
        <v>7013419</v>
      </c>
      <c r="F1548" s="1">
        <v>2604.3145191236499</v>
      </c>
      <c r="G1548" s="1">
        <v>5</v>
      </c>
      <c r="H1548" s="1">
        <v>3</v>
      </c>
      <c r="I1548" s="1">
        <v>4</v>
      </c>
      <c r="J1548" s="1">
        <v>3.5</v>
      </c>
      <c r="K1548" s="1">
        <v>3</v>
      </c>
      <c r="L1548" s="1">
        <v>1</v>
      </c>
      <c r="M1548" s="4">
        <v>2693</v>
      </c>
      <c r="N1548" s="1">
        <v>2602</v>
      </c>
      <c r="O1548" s="1">
        <v>5507</v>
      </c>
      <c r="P1548" s="1">
        <v>2905</v>
      </c>
      <c r="Q1548" s="1" t="s">
        <v>42</v>
      </c>
      <c r="S1548" s="1" t="s">
        <v>42</v>
      </c>
      <c r="T1548" s="1" t="s">
        <v>203</v>
      </c>
      <c r="V1548" s="5">
        <v>43668</v>
      </c>
      <c r="W1548" s="5">
        <v>42649</v>
      </c>
      <c r="X1548" s="1">
        <v>6950000</v>
      </c>
      <c r="Y1548" s="1">
        <v>6950000</v>
      </c>
      <c r="Z1548" s="5">
        <v>42649</v>
      </c>
      <c r="AA1548" s="1">
        <v>7013419</v>
      </c>
      <c r="AB1548" s="1" t="s">
        <v>1178</v>
      </c>
      <c r="AC1548" s="5">
        <v>42833</v>
      </c>
      <c r="AF1548" s="1">
        <v>10010</v>
      </c>
      <c r="AJ1548" s="1">
        <v>1912</v>
      </c>
      <c r="AK1548" s="1" t="s">
        <v>81</v>
      </c>
      <c r="AL1548" s="1">
        <v>48</v>
      </c>
    </row>
    <row r="1549" spans="1:38" x14ac:dyDescent="0.2">
      <c r="A1549" s="2" t="str">
        <f>HYPERLINK("https://www.compass.com/listing/212-5th-avenue-unit-6b-manhattan-ny-10010/29374777588258561/","212 5th Ave, Unit 6B")</f>
        <v>212 5th Ave, Unit 6B</v>
      </c>
      <c r="B1549" s="2" t="str">
        <f t="shared" si="272"/>
        <v>212 5th Ave</v>
      </c>
      <c r="C1549" s="1" t="s">
        <v>95</v>
      </c>
      <c r="D1549" s="1" t="s">
        <v>41</v>
      </c>
      <c r="E1549" s="3">
        <v>6420000</v>
      </c>
      <c r="F1549" s="1">
        <v>2383.9584106943898</v>
      </c>
      <c r="G1549" s="1">
        <v>7</v>
      </c>
      <c r="H1549" s="1">
        <v>3</v>
      </c>
      <c r="I1549" s="1">
        <v>4</v>
      </c>
      <c r="J1549" s="1">
        <v>3.5</v>
      </c>
      <c r="K1549" s="1">
        <v>3</v>
      </c>
      <c r="L1549" s="1">
        <v>1</v>
      </c>
      <c r="M1549" s="4">
        <v>2693</v>
      </c>
      <c r="N1549" s="1">
        <v>2602</v>
      </c>
      <c r="O1549" s="1">
        <v>5507</v>
      </c>
      <c r="P1549" s="1">
        <v>2905</v>
      </c>
      <c r="Q1549" s="1" t="s">
        <v>42</v>
      </c>
      <c r="S1549" s="1" t="s">
        <v>42</v>
      </c>
      <c r="T1549" s="1" t="s">
        <v>203</v>
      </c>
      <c r="V1549" s="5">
        <v>43668</v>
      </c>
      <c r="W1549" s="5">
        <v>42649</v>
      </c>
      <c r="X1549" s="1">
        <v>6700000</v>
      </c>
      <c r="Y1549" s="1">
        <v>6700000</v>
      </c>
      <c r="Z1549" s="5">
        <v>42649</v>
      </c>
      <c r="AA1549" s="1">
        <v>6420000</v>
      </c>
      <c r="AB1549" s="1" t="s">
        <v>1179</v>
      </c>
      <c r="AC1549" s="5">
        <v>42845</v>
      </c>
      <c r="AF1549" s="1">
        <v>10010</v>
      </c>
      <c r="AJ1549" s="1">
        <v>1912</v>
      </c>
      <c r="AK1549" s="1" t="s">
        <v>81</v>
      </c>
      <c r="AL1549" s="1">
        <v>48</v>
      </c>
    </row>
    <row r="1550" spans="1:38" x14ac:dyDescent="0.2">
      <c r="A1550" s="2" t="str">
        <f>HYPERLINK("https://www.compass.com/listing/212-5th-avenue-unit-8a-manhattan-ny-10010/29374780222338033/","212 5th Ave, Unit 8A")</f>
        <v>212 5th Ave, Unit 8A</v>
      </c>
      <c r="B1550" s="2" t="str">
        <f t="shared" si="272"/>
        <v>212 5th Ave</v>
      </c>
      <c r="C1550" s="1" t="s">
        <v>95</v>
      </c>
      <c r="D1550" s="1" t="s">
        <v>41</v>
      </c>
      <c r="E1550" s="3">
        <v>11000000</v>
      </c>
      <c r="F1550" s="1">
        <v>3656.91489361702</v>
      </c>
      <c r="G1550" s="1">
        <v>5</v>
      </c>
      <c r="H1550" s="1">
        <v>3</v>
      </c>
      <c r="I1550" s="1">
        <v>4</v>
      </c>
      <c r="J1550" s="1">
        <v>3.5</v>
      </c>
      <c r="M1550" s="4">
        <v>3008</v>
      </c>
      <c r="N1550" s="1">
        <v>3679</v>
      </c>
      <c r="O1550" s="1">
        <v>7787</v>
      </c>
      <c r="P1550" s="1">
        <v>4108</v>
      </c>
      <c r="Q1550" s="1" t="s">
        <v>42</v>
      </c>
      <c r="S1550" s="1" t="s">
        <v>42</v>
      </c>
      <c r="T1550" s="1" t="s">
        <v>203</v>
      </c>
      <c r="U1550" s="1">
        <v>99</v>
      </c>
      <c r="V1550" s="5">
        <v>42879</v>
      </c>
      <c r="W1550" s="5">
        <v>42314</v>
      </c>
      <c r="X1550" s="1">
        <v>11100000</v>
      </c>
      <c r="Y1550" s="1">
        <v>11100000</v>
      </c>
      <c r="AA1550" s="1">
        <v>11000000</v>
      </c>
      <c r="AB1550" s="1" t="s">
        <v>1144</v>
      </c>
      <c r="AC1550" s="5">
        <v>42849</v>
      </c>
      <c r="AF1550" s="1">
        <v>10010</v>
      </c>
      <c r="AJ1550" s="1">
        <v>1912</v>
      </c>
      <c r="AK1550" s="1" t="s">
        <v>81</v>
      </c>
      <c r="AL1550" s="1">
        <v>48</v>
      </c>
    </row>
    <row r="1551" spans="1:38" x14ac:dyDescent="0.2">
      <c r="A1551" s="2" t="str">
        <f>HYPERLINK("https://www.compass.com/listing/212-5th-avenue-unit-14b-manhattan-ny-10010/29374786748673985/","212 5th Ave, Unit 14B")</f>
        <v>212 5th Ave, Unit 14B</v>
      </c>
      <c r="B1551" s="2" t="str">
        <f t="shared" si="272"/>
        <v>212 5th Ave</v>
      </c>
      <c r="C1551" s="1" t="s">
        <v>95</v>
      </c>
      <c r="D1551" s="1" t="s">
        <v>41</v>
      </c>
      <c r="E1551" s="3">
        <v>7750000</v>
      </c>
      <c r="F1551" s="1">
        <v>2877.8314147790502</v>
      </c>
      <c r="G1551" s="1">
        <v>5</v>
      </c>
      <c r="H1551" s="1">
        <v>3</v>
      </c>
      <c r="I1551" s="1">
        <v>4</v>
      </c>
      <c r="J1551" s="1">
        <v>3.5</v>
      </c>
      <c r="K1551" s="1">
        <v>3</v>
      </c>
      <c r="L1551" s="1">
        <v>1</v>
      </c>
      <c r="M1551" s="4">
        <v>2693</v>
      </c>
      <c r="N1551" s="1">
        <v>2863</v>
      </c>
      <c r="O1551" s="1">
        <v>6059</v>
      </c>
      <c r="P1551" s="1">
        <v>3196</v>
      </c>
      <c r="Q1551" s="1" t="s">
        <v>42</v>
      </c>
      <c r="S1551" s="1" t="s">
        <v>42</v>
      </c>
      <c r="T1551" s="1" t="s">
        <v>203</v>
      </c>
      <c r="V1551" s="5">
        <v>43668</v>
      </c>
      <c r="W1551" s="5">
        <v>42649</v>
      </c>
      <c r="X1551" s="1">
        <v>7750000</v>
      </c>
      <c r="Y1551" s="1">
        <v>7750000</v>
      </c>
      <c r="Z1551" s="5">
        <v>42649</v>
      </c>
      <c r="AA1551" s="1">
        <v>7750000</v>
      </c>
      <c r="AB1551" s="1" t="s">
        <v>204</v>
      </c>
      <c r="AC1551" s="5">
        <v>42871</v>
      </c>
      <c r="AF1551" s="1">
        <v>10010</v>
      </c>
      <c r="AJ1551" s="1">
        <v>1912</v>
      </c>
      <c r="AK1551" s="1" t="s">
        <v>81</v>
      </c>
      <c r="AL1551" s="1">
        <v>48</v>
      </c>
    </row>
    <row r="1552" spans="1:38" x14ac:dyDescent="0.2">
      <c r="A1552" s="2" t="str">
        <f>HYPERLINK("https://www.compass.com/listing/212-5th-avenue-unit-15b-manhattan-ny-10010/29374787352655057/","212 5th Ave, Unit 15B")</f>
        <v>212 5th Ave, Unit 15B</v>
      </c>
      <c r="B1552" s="2" t="str">
        <f t="shared" si="272"/>
        <v>212 5th Ave</v>
      </c>
      <c r="C1552" s="1" t="s">
        <v>95</v>
      </c>
      <c r="D1552" s="1" t="s">
        <v>41</v>
      </c>
      <c r="E1552" s="3">
        <v>8756950</v>
      </c>
      <c r="F1552" s="1">
        <v>2845.0129954515901</v>
      </c>
      <c r="G1552" s="1">
        <v>5</v>
      </c>
      <c r="H1552" s="1">
        <v>3</v>
      </c>
      <c r="I1552" s="1">
        <v>4</v>
      </c>
      <c r="J1552" s="1">
        <v>3.5</v>
      </c>
      <c r="M1552" s="4">
        <v>3078</v>
      </c>
      <c r="N1552" s="1">
        <v>3356</v>
      </c>
      <c r="O1552" s="1">
        <v>7102</v>
      </c>
      <c r="P1552" s="1">
        <v>3746</v>
      </c>
      <c r="Q1552" s="1" t="s">
        <v>42</v>
      </c>
      <c r="S1552" s="1" t="s">
        <v>42</v>
      </c>
      <c r="T1552" s="1" t="s">
        <v>203</v>
      </c>
      <c r="U1552" s="1">
        <v>120</v>
      </c>
      <c r="V1552" s="5">
        <v>42879</v>
      </c>
      <c r="W1552" s="5">
        <v>42292</v>
      </c>
      <c r="X1552" s="1">
        <v>9100000</v>
      </c>
      <c r="Y1552" s="1">
        <v>9100000</v>
      </c>
      <c r="AA1552" s="1">
        <v>8756950</v>
      </c>
      <c r="AB1552" s="1" t="s">
        <v>1155</v>
      </c>
      <c r="AC1552" s="5">
        <v>42816</v>
      </c>
      <c r="AF1552" s="1">
        <v>10010</v>
      </c>
      <c r="AJ1552" s="1">
        <v>1912</v>
      </c>
      <c r="AK1552" s="1" t="s">
        <v>81</v>
      </c>
      <c r="AL1552" s="1">
        <v>48</v>
      </c>
    </row>
    <row r="1553" spans="1:38" x14ac:dyDescent="0.2">
      <c r="A1553" s="2" t="str">
        <f>HYPERLINK("https://www.compass.com/listing/212-5th-avenue-unit-16a-manhattan-ny-10010/29374787990132721/","212 5th Ave, Unit 16A")</f>
        <v>212 5th Ave, Unit 16A</v>
      </c>
      <c r="B1553" s="2" t="str">
        <f t="shared" si="272"/>
        <v>212 5th Ave</v>
      </c>
      <c r="C1553" s="1" t="s">
        <v>95</v>
      </c>
      <c r="D1553" s="1" t="s">
        <v>41</v>
      </c>
      <c r="E1553" s="3">
        <v>15782875</v>
      </c>
      <c r="F1553" s="1">
        <v>3798.52587244284</v>
      </c>
      <c r="G1553" s="1">
        <v>7</v>
      </c>
      <c r="H1553" s="1">
        <v>4</v>
      </c>
      <c r="I1553" s="1">
        <v>5</v>
      </c>
      <c r="J1553" s="1">
        <v>4.5</v>
      </c>
      <c r="M1553" s="4">
        <v>4155</v>
      </c>
      <c r="N1553" s="1">
        <v>5423</v>
      </c>
      <c r="O1553" s="1">
        <v>11478</v>
      </c>
      <c r="P1553" s="1">
        <v>6055</v>
      </c>
      <c r="Q1553" s="1" t="s">
        <v>42</v>
      </c>
      <c r="S1553" s="1" t="s">
        <v>42</v>
      </c>
      <c r="T1553" s="1" t="s">
        <v>203</v>
      </c>
      <c r="U1553" s="1">
        <v>158</v>
      </c>
      <c r="V1553" s="5">
        <v>42879</v>
      </c>
      <c r="W1553" s="5">
        <v>42413</v>
      </c>
      <c r="X1553" s="1">
        <v>16350000</v>
      </c>
      <c r="Y1553" s="1">
        <v>16350000</v>
      </c>
      <c r="AA1553" s="1">
        <v>15782875</v>
      </c>
      <c r="AB1553" s="1" t="s">
        <v>1180</v>
      </c>
      <c r="AC1553" s="5">
        <v>42793</v>
      </c>
      <c r="AF1553" s="1">
        <v>10010</v>
      </c>
      <c r="AJ1553" s="1">
        <v>1912</v>
      </c>
      <c r="AK1553" s="1" t="s">
        <v>81</v>
      </c>
      <c r="AL1553" s="1">
        <v>48</v>
      </c>
    </row>
    <row r="1554" spans="1:38" x14ac:dyDescent="0.2">
      <c r="A1554" s="2" t="str">
        <f>HYPERLINK("https://www.compass.com/listing/212-5th-avenue-unit-16b-manhattan-ny-10010/29374788652888065/","212 5th Ave, Unit 16B")</f>
        <v>212 5th Ave, Unit 16B</v>
      </c>
      <c r="B1554" s="2" t="str">
        <f t="shared" si="272"/>
        <v>212 5th Ave</v>
      </c>
      <c r="C1554" s="1" t="s">
        <v>95</v>
      </c>
      <c r="D1554" s="1" t="s">
        <v>41</v>
      </c>
      <c r="E1554" s="3">
        <v>9367900</v>
      </c>
      <c r="F1554" s="1">
        <v>3043.5022742040201</v>
      </c>
      <c r="G1554" s="1">
        <v>8</v>
      </c>
      <c r="H1554" s="1">
        <v>3</v>
      </c>
      <c r="I1554" s="1">
        <v>4</v>
      </c>
      <c r="J1554" s="1">
        <v>3.5</v>
      </c>
      <c r="M1554" s="4">
        <v>3078</v>
      </c>
      <c r="N1554" s="1">
        <v>3393</v>
      </c>
      <c r="O1554" s="1">
        <v>7181</v>
      </c>
      <c r="P1554" s="1">
        <v>3788</v>
      </c>
      <c r="Q1554" s="1" t="s">
        <v>42</v>
      </c>
      <c r="S1554" s="1" t="s">
        <v>42</v>
      </c>
      <c r="T1554" s="1" t="s">
        <v>203</v>
      </c>
      <c r="U1554" s="1">
        <v>158</v>
      </c>
      <c r="V1554" s="5">
        <v>42879</v>
      </c>
      <c r="W1554" s="5">
        <v>42413</v>
      </c>
      <c r="X1554" s="1">
        <v>9500000</v>
      </c>
      <c r="Y1554" s="1">
        <v>9500000</v>
      </c>
      <c r="AA1554" s="1">
        <v>9367900</v>
      </c>
      <c r="AB1554" s="1" t="s">
        <v>1181</v>
      </c>
      <c r="AC1554" s="5">
        <v>42845</v>
      </c>
      <c r="AF1554" s="1">
        <v>10010</v>
      </c>
      <c r="AJ1554" s="1">
        <v>1912</v>
      </c>
      <c r="AK1554" s="1" t="s">
        <v>81</v>
      </c>
      <c r="AL1554" s="1">
        <v>48</v>
      </c>
    </row>
    <row r="1555" spans="1:38" x14ac:dyDescent="0.2">
      <c r="A1555" s="2" t="str">
        <f>HYPERLINK("https://www.compass.com/listing/212-5th-avenue-unit-5b-manhattan-ny-10010/803338228266634121/","212 5th Ave, Unit 5B")</f>
        <v>212 5th Ave, Unit 5B</v>
      </c>
      <c r="B1555" s="2" t="str">
        <f t="shared" si="272"/>
        <v>212 5th Ave</v>
      </c>
      <c r="C1555" s="1" t="s">
        <v>95</v>
      </c>
      <c r="D1555" s="1" t="s">
        <v>41</v>
      </c>
      <c r="E1555" s="3">
        <v>6669538</v>
      </c>
      <c r="F1555" s="1">
        <v>2476.6199405867001</v>
      </c>
      <c r="G1555" s="1">
        <v>7</v>
      </c>
      <c r="H1555" s="1">
        <v>3</v>
      </c>
      <c r="I1555" s="1">
        <v>4</v>
      </c>
      <c r="J1555" s="1">
        <v>3.5</v>
      </c>
      <c r="M1555" s="4">
        <v>2693</v>
      </c>
      <c r="N1555" s="1">
        <v>2564</v>
      </c>
      <c r="O1555" s="1">
        <v>5427</v>
      </c>
      <c r="P1555" s="1">
        <v>2863</v>
      </c>
      <c r="Q1555" s="1" t="s">
        <v>42</v>
      </c>
      <c r="S1555" s="1" t="s">
        <v>42</v>
      </c>
      <c r="T1555" s="1" t="s">
        <v>203</v>
      </c>
      <c r="U1555" s="1">
        <v>6</v>
      </c>
      <c r="V1555" s="5">
        <v>42775</v>
      </c>
      <c r="W1555" s="5">
        <v>42292</v>
      </c>
      <c r="X1555" s="1">
        <v>6550000</v>
      </c>
      <c r="Y1555" s="1">
        <v>6550000</v>
      </c>
      <c r="Z1555" s="5">
        <v>42299</v>
      </c>
      <c r="AA1555" s="1">
        <v>6669537.5</v>
      </c>
      <c r="AB1555" s="1" t="s">
        <v>1176</v>
      </c>
      <c r="AC1555" s="5">
        <v>42829</v>
      </c>
      <c r="AF1555" s="1">
        <v>10010</v>
      </c>
      <c r="AJ1555" s="1">
        <v>1912</v>
      </c>
      <c r="AK1555" s="1" t="s">
        <v>81</v>
      </c>
      <c r="AL1555" s="1">
        <v>48</v>
      </c>
    </row>
    <row r="1556" spans="1:38" x14ac:dyDescent="0.2">
      <c r="A1556" s="2" t="str">
        <f>HYPERLINK("https://www.compass.com/listing/212-5th-avenue-unit-3a-manhattan-ny-10010/803342624945161609/","212 5th Ave, Unit 3A")</f>
        <v>212 5th Ave, Unit 3A</v>
      </c>
      <c r="B1556" s="2" t="str">
        <f t="shared" si="272"/>
        <v>212 5th Ave</v>
      </c>
      <c r="C1556" s="1" t="s">
        <v>95</v>
      </c>
      <c r="D1556" s="1" t="s">
        <v>41</v>
      </c>
      <c r="E1556" s="3">
        <v>10850000</v>
      </c>
      <c r="F1556" s="1">
        <v>3614.2571618920701</v>
      </c>
      <c r="G1556" s="1">
        <v>7</v>
      </c>
      <c r="H1556" s="1">
        <v>3</v>
      </c>
      <c r="I1556" s="1">
        <v>4</v>
      </c>
      <c r="J1556" s="1">
        <v>3.5</v>
      </c>
      <c r="M1556" s="4">
        <v>3002</v>
      </c>
      <c r="N1556" s="1">
        <v>3553</v>
      </c>
      <c r="O1556" s="1">
        <v>7520</v>
      </c>
      <c r="P1556" s="1">
        <v>3967</v>
      </c>
      <c r="Q1556" s="1" t="s">
        <v>42</v>
      </c>
      <c r="S1556" s="1" t="s">
        <v>42</v>
      </c>
      <c r="T1556" s="1" t="s">
        <v>203</v>
      </c>
      <c r="U1556" s="1">
        <v>120</v>
      </c>
      <c r="V1556" s="5">
        <v>42775</v>
      </c>
      <c r="W1556" s="5">
        <v>42292</v>
      </c>
      <c r="X1556" s="1">
        <v>10950000</v>
      </c>
      <c r="Y1556" s="1">
        <v>10950000</v>
      </c>
      <c r="Z1556" s="5">
        <v>42500</v>
      </c>
      <c r="AA1556" s="1">
        <v>10850000</v>
      </c>
      <c r="AB1556" s="1" t="s">
        <v>1167</v>
      </c>
      <c r="AC1556" s="5">
        <v>42814</v>
      </c>
      <c r="AF1556" s="1">
        <v>10010</v>
      </c>
      <c r="AJ1556" s="1">
        <v>1912</v>
      </c>
      <c r="AK1556" s="1" t="s">
        <v>81</v>
      </c>
      <c r="AL1556" s="1">
        <v>48</v>
      </c>
    </row>
    <row r="1557" spans="1:38" x14ac:dyDescent="0.2">
      <c r="A1557" s="2" t="str">
        <f>HYPERLINK("https://www.compass.com/listing/212-5th-avenue-unit-7a-manhattan-ny-10010/803350447825745737/","212 5th Ave, Unit 7A")</f>
        <v>212 5th Ave, Unit 7A</v>
      </c>
      <c r="B1557" s="2" t="str">
        <f t="shared" si="272"/>
        <v>212 5th Ave</v>
      </c>
      <c r="C1557" s="1" t="s">
        <v>95</v>
      </c>
      <c r="D1557" s="1" t="s">
        <v>41</v>
      </c>
      <c r="E1557" s="3">
        <v>10900000</v>
      </c>
      <c r="F1557" s="1">
        <v>3623.6702127659501</v>
      </c>
      <c r="G1557" s="1">
        <v>7</v>
      </c>
      <c r="H1557" s="1">
        <v>3</v>
      </c>
      <c r="I1557" s="1">
        <v>4</v>
      </c>
      <c r="J1557" s="1">
        <v>3.5</v>
      </c>
      <c r="M1557" s="4">
        <v>3008</v>
      </c>
      <c r="N1557" s="1">
        <v>3617</v>
      </c>
      <c r="O1557" s="1">
        <v>7655</v>
      </c>
      <c r="P1557" s="1">
        <v>4038</v>
      </c>
      <c r="Q1557" s="1" t="s">
        <v>42</v>
      </c>
      <c r="S1557" s="1" t="s">
        <v>42</v>
      </c>
      <c r="T1557" s="1" t="s">
        <v>203</v>
      </c>
      <c r="V1557" s="5">
        <v>42775</v>
      </c>
      <c r="W1557" s="5">
        <v>42314</v>
      </c>
      <c r="X1557" s="1">
        <v>10900000</v>
      </c>
      <c r="Y1557" s="1">
        <v>10900000</v>
      </c>
      <c r="Z1557" s="5">
        <v>42314</v>
      </c>
      <c r="AA1557" s="1">
        <v>10900000</v>
      </c>
      <c r="AB1557" s="1" t="s">
        <v>1169</v>
      </c>
      <c r="AC1557" s="5">
        <v>42781</v>
      </c>
      <c r="AF1557" s="1">
        <v>10010</v>
      </c>
      <c r="AJ1557" s="1">
        <v>1912</v>
      </c>
      <c r="AK1557" s="1" t="s">
        <v>81</v>
      </c>
      <c r="AL1557" s="1">
        <v>48</v>
      </c>
    </row>
    <row r="1558" spans="1:38" x14ac:dyDescent="0.2">
      <c r="A1558" s="2" t="str">
        <f>HYPERLINK("https://www.compass.com/listing/212-5th-avenue-unit-6a-manhattan-ny-10010/803350847979141841/","212 5th Ave, Unit 6A")</f>
        <v>212 5th Ave, Unit 6A</v>
      </c>
      <c r="B1558" s="2" t="str">
        <f t="shared" si="272"/>
        <v>212 5th Ave</v>
      </c>
      <c r="C1558" s="1" t="s">
        <v>95</v>
      </c>
      <c r="D1558" s="1" t="s">
        <v>41</v>
      </c>
      <c r="E1558" s="3">
        <v>10797638</v>
      </c>
      <c r="F1558" s="1">
        <v>3589.6401263297798</v>
      </c>
      <c r="G1558" s="1">
        <v>7</v>
      </c>
      <c r="H1558" s="1">
        <v>3</v>
      </c>
      <c r="I1558" s="1">
        <v>4</v>
      </c>
      <c r="J1558" s="1">
        <v>3.5</v>
      </c>
      <c r="M1558" s="4">
        <v>3008</v>
      </c>
      <c r="N1558" s="1">
        <v>3555</v>
      </c>
      <c r="O1558" s="1">
        <v>7524</v>
      </c>
      <c r="P1558" s="1">
        <v>3969</v>
      </c>
      <c r="Q1558" s="1" t="s">
        <v>42</v>
      </c>
      <c r="S1558" s="1" t="s">
        <v>42</v>
      </c>
      <c r="T1558" s="1" t="s">
        <v>203</v>
      </c>
      <c r="U1558" s="1">
        <v>161</v>
      </c>
      <c r="V1558" s="5">
        <v>42775</v>
      </c>
      <c r="W1558" s="5">
        <v>42413</v>
      </c>
      <c r="X1558" s="1">
        <v>10700000</v>
      </c>
      <c r="Y1558" s="1">
        <v>10700000</v>
      </c>
      <c r="Z1558" s="5">
        <v>42574</v>
      </c>
      <c r="AA1558" s="1">
        <v>10797637.5</v>
      </c>
      <c r="AB1558" s="1" t="s">
        <v>1170</v>
      </c>
      <c r="AC1558" s="5">
        <v>42781</v>
      </c>
      <c r="AF1558" s="1">
        <v>10010</v>
      </c>
      <c r="AJ1558" s="1">
        <v>1912</v>
      </c>
      <c r="AK1558" s="1" t="s">
        <v>81</v>
      </c>
      <c r="AL1558" s="1">
        <v>48</v>
      </c>
    </row>
    <row r="1559" spans="1:38" x14ac:dyDescent="0.2">
      <c r="A1559" s="2" t="str">
        <f>HYPERLINK("https://www.compass.com/listing/212-5th-avenue-unit-7b-manhattan-ny-10010/803354530032811897/","212 5th Ave, Unit 7B")</f>
        <v>212 5th Ave, Unit 7B</v>
      </c>
      <c r="B1559" s="2" t="str">
        <f t="shared" si="272"/>
        <v>212 5th Ave</v>
      </c>
      <c r="C1559" s="1" t="s">
        <v>95</v>
      </c>
      <c r="D1559" s="1" t="s">
        <v>41</v>
      </c>
      <c r="E1559" s="3">
        <v>6975013</v>
      </c>
      <c r="F1559" s="1">
        <v>2590.05291496472</v>
      </c>
      <c r="G1559" s="1">
        <v>7</v>
      </c>
      <c r="H1559" s="1">
        <v>3</v>
      </c>
      <c r="I1559" s="1">
        <v>4</v>
      </c>
      <c r="J1559" s="1">
        <v>3.5</v>
      </c>
      <c r="M1559" s="4">
        <v>2693</v>
      </c>
      <c r="N1559" s="1">
        <v>2639</v>
      </c>
      <c r="O1559" s="1">
        <v>5585</v>
      </c>
      <c r="P1559" s="1">
        <v>2946</v>
      </c>
      <c r="Q1559" s="1" t="s">
        <v>42</v>
      </c>
      <c r="S1559" s="1" t="s">
        <v>42</v>
      </c>
      <c r="T1559" s="1" t="s">
        <v>203</v>
      </c>
      <c r="V1559" s="5">
        <v>42775</v>
      </c>
      <c r="W1559" s="5">
        <v>42314</v>
      </c>
      <c r="X1559" s="1">
        <v>6850000</v>
      </c>
      <c r="Y1559" s="1">
        <v>6850000</v>
      </c>
      <c r="Z1559" s="5">
        <v>42314</v>
      </c>
      <c r="AA1559" s="1">
        <v>6975012.5</v>
      </c>
      <c r="AB1559" s="1" t="s">
        <v>1177</v>
      </c>
      <c r="AC1559" s="5">
        <v>42783</v>
      </c>
      <c r="AF1559" s="1">
        <v>10010</v>
      </c>
      <c r="AJ1559" s="1">
        <v>1912</v>
      </c>
      <c r="AK1559" s="1" t="s">
        <v>81</v>
      </c>
      <c r="AL1559" s="1">
        <v>48</v>
      </c>
    </row>
    <row r="1560" spans="1:38" x14ac:dyDescent="0.2">
      <c r="A1560" s="2" t="str">
        <f>HYPERLINK("https://www.compass.com/listing/212-5th-avenue-unit-6b-manhattan-ny-10010/803354630587334081/","212 5th Ave, Unit 6B")</f>
        <v>212 5th Ave, Unit 6B</v>
      </c>
      <c r="B1560" s="2" t="str">
        <f t="shared" si="272"/>
        <v>212 5th Ave</v>
      </c>
      <c r="C1560" s="1" t="s">
        <v>95</v>
      </c>
      <c r="D1560" s="1" t="s">
        <v>41</v>
      </c>
      <c r="E1560" s="3">
        <v>6420000</v>
      </c>
      <c r="F1560" s="1">
        <v>2383.9584106943898</v>
      </c>
      <c r="G1560" s="1">
        <v>7</v>
      </c>
      <c r="H1560" s="1">
        <v>3</v>
      </c>
      <c r="I1560" s="1">
        <v>4</v>
      </c>
      <c r="J1560" s="1">
        <v>3.5</v>
      </c>
      <c r="M1560" s="4">
        <v>2693</v>
      </c>
      <c r="N1560" s="1">
        <v>2602</v>
      </c>
      <c r="O1560" s="1">
        <v>5507</v>
      </c>
      <c r="P1560" s="1">
        <v>2905</v>
      </c>
      <c r="Q1560" s="1" t="s">
        <v>42</v>
      </c>
      <c r="S1560" s="1" t="s">
        <v>42</v>
      </c>
      <c r="T1560" s="1" t="s">
        <v>203</v>
      </c>
      <c r="U1560" s="1">
        <v>75</v>
      </c>
      <c r="V1560" s="5">
        <v>42775</v>
      </c>
      <c r="W1560" s="5">
        <v>42571</v>
      </c>
      <c r="Y1560" s="1">
        <v>6700000</v>
      </c>
      <c r="Z1560" s="5">
        <v>42647</v>
      </c>
      <c r="AA1560" s="1">
        <v>6420000</v>
      </c>
      <c r="AB1560" s="1" t="s">
        <v>1179</v>
      </c>
      <c r="AC1560" s="5">
        <v>42845</v>
      </c>
      <c r="AF1560" s="1">
        <v>10010</v>
      </c>
      <c r="AJ1560" s="1">
        <v>1912</v>
      </c>
      <c r="AK1560" s="1" t="s">
        <v>81</v>
      </c>
      <c r="AL1560" s="1">
        <v>48</v>
      </c>
    </row>
    <row r="1561" spans="1:38" x14ac:dyDescent="0.2">
      <c r="A1561" s="2" t="str">
        <f>HYPERLINK("https://www.compass.com/listing/212-5th-avenue-unit-9a-manhattan-ny-10010/803367805793583385/","212 5th Ave, Unit 9A")</f>
        <v>212 5th Ave, Unit 9A</v>
      </c>
      <c r="B1561" s="2" t="str">
        <f t="shared" si="272"/>
        <v>212 5th Ave</v>
      </c>
      <c r="C1561" s="1" t="s">
        <v>95</v>
      </c>
      <c r="D1561" s="1" t="s">
        <v>41</v>
      </c>
      <c r="E1561" s="3">
        <v>11100000</v>
      </c>
      <c r="F1561" s="1">
        <v>3690.1595744680799</v>
      </c>
      <c r="G1561" s="1">
        <v>5</v>
      </c>
      <c r="H1561" s="1">
        <v>3</v>
      </c>
      <c r="I1561" s="1">
        <v>4</v>
      </c>
      <c r="J1561" s="1">
        <v>3.5</v>
      </c>
      <c r="M1561" s="4">
        <v>3008</v>
      </c>
      <c r="N1561" s="1">
        <v>3741</v>
      </c>
      <c r="O1561" s="1">
        <v>7918</v>
      </c>
      <c r="P1561" s="1">
        <v>4177</v>
      </c>
      <c r="Q1561" s="1" t="s">
        <v>42</v>
      </c>
      <c r="S1561" s="1" t="s">
        <v>42</v>
      </c>
      <c r="T1561" s="1" t="s">
        <v>203</v>
      </c>
      <c r="U1561" s="1">
        <v>158</v>
      </c>
      <c r="V1561" s="5">
        <v>42879</v>
      </c>
      <c r="W1561" s="5">
        <v>42413</v>
      </c>
      <c r="X1561" s="1">
        <v>11300000</v>
      </c>
      <c r="Y1561" s="1">
        <v>11300000</v>
      </c>
      <c r="AA1561" s="1">
        <v>11100000</v>
      </c>
      <c r="AB1561" s="1" t="s">
        <v>1135</v>
      </c>
      <c r="AC1561" s="5">
        <v>42929</v>
      </c>
      <c r="AF1561" s="1">
        <v>10010</v>
      </c>
      <c r="AJ1561" s="1">
        <v>1912</v>
      </c>
      <c r="AK1561" s="1" t="s">
        <v>81</v>
      </c>
      <c r="AL1561" s="1">
        <v>48</v>
      </c>
    </row>
    <row r="1562" spans="1:38" x14ac:dyDescent="0.2">
      <c r="A1562" s="2" t="str">
        <f>HYPERLINK("https://www.compass.com/listing/212-5th-avenue-unit-16a-manhattan-ny-10010/803378628507267065/","212 5th Ave, Unit 16A")</f>
        <v>212 5th Ave, Unit 16A</v>
      </c>
      <c r="B1562" s="2" t="str">
        <f t="shared" si="272"/>
        <v>212 5th Ave</v>
      </c>
      <c r="C1562" s="1" t="s">
        <v>95</v>
      </c>
      <c r="D1562" s="1" t="s">
        <v>41</v>
      </c>
      <c r="E1562" s="3">
        <v>15782875</v>
      </c>
      <c r="F1562" s="1">
        <v>3798.52587244284</v>
      </c>
      <c r="G1562" s="1">
        <v>7</v>
      </c>
      <c r="H1562" s="1">
        <v>4</v>
      </c>
      <c r="I1562" s="1">
        <v>5</v>
      </c>
      <c r="J1562" s="1">
        <v>4.5</v>
      </c>
      <c r="K1562" s="1">
        <v>4</v>
      </c>
      <c r="L1562" s="1">
        <v>1</v>
      </c>
      <c r="M1562" s="4">
        <v>4155</v>
      </c>
      <c r="N1562" s="1">
        <v>5423</v>
      </c>
      <c r="O1562" s="1">
        <v>11478</v>
      </c>
      <c r="P1562" s="1">
        <v>6055</v>
      </c>
      <c r="Q1562" s="1" t="s">
        <v>42</v>
      </c>
      <c r="S1562" s="1" t="s">
        <v>42</v>
      </c>
      <c r="T1562" s="1" t="s">
        <v>203</v>
      </c>
      <c r="U1562" s="1">
        <v>247</v>
      </c>
      <c r="V1562" s="5">
        <v>42871</v>
      </c>
      <c r="W1562" s="5">
        <v>42412</v>
      </c>
      <c r="X1562" s="1">
        <v>16350000</v>
      </c>
      <c r="Y1562" s="1">
        <v>16350000</v>
      </c>
      <c r="Z1562" s="5">
        <v>42703</v>
      </c>
      <c r="AA1562" s="1">
        <v>15782875</v>
      </c>
      <c r="AB1562" s="1" t="s">
        <v>1180</v>
      </c>
      <c r="AC1562" s="5">
        <v>42793</v>
      </c>
      <c r="AF1562" s="1">
        <v>10010</v>
      </c>
      <c r="AJ1562" s="1">
        <v>1912</v>
      </c>
      <c r="AK1562" s="1" t="s">
        <v>81</v>
      </c>
      <c r="AL1562" s="1">
        <v>48</v>
      </c>
    </row>
    <row r="1563" spans="1:38" x14ac:dyDescent="0.2">
      <c r="A1563" s="2" t="str">
        <f>HYPERLINK("https://www.compass.com/listing/212-5th-avenue-unit-4b-manhattan-ny-10010/803392323908101753/","212 5th Ave, Unit 4B")</f>
        <v>212 5th Ave, Unit 4B</v>
      </c>
      <c r="B1563" s="2" t="str">
        <f t="shared" si="272"/>
        <v>212 5th Ave</v>
      </c>
      <c r="C1563" s="1" t="s">
        <v>95</v>
      </c>
      <c r="D1563" s="1" t="s">
        <v>41</v>
      </c>
      <c r="E1563" s="3">
        <v>6666250</v>
      </c>
      <c r="F1563" s="1">
        <v>2475.3991830672098</v>
      </c>
      <c r="G1563" s="1">
        <v>7</v>
      </c>
      <c r="H1563" s="1">
        <v>3</v>
      </c>
      <c r="I1563" s="1">
        <v>4</v>
      </c>
      <c r="J1563" s="1">
        <v>3.5</v>
      </c>
      <c r="M1563" s="4">
        <v>2693</v>
      </c>
      <c r="N1563" s="1">
        <v>2614</v>
      </c>
      <c r="O1563" s="1">
        <v>5532</v>
      </c>
      <c r="P1563" s="1">
        <v>2918</v>
      </c>
      <c r="Q1563" s="1" t="s">
        <v>42</v>
      </c>
      <c r="S1563" s="1" t="s">
        <v>42</v>
      </c>
      <c r="T1563" s="1" t="s">
        <v>203</v>
      </c>
      <c r="U1563" s="1">
        <v>149</v>
      </c>
      <c r="V1563" s="5">
        <v>42775</v>
      </c>
      <c r="W1563" s="5">
        <v>42413</v>
      </c>
      <c r="X1563" s="1">
        <v>7050000</v>
      </c>
      <c r="Y1563" s="1">
        <v>7050000</v>
      </c>
      <c r="Z1563" s="5">
        <v>42562</v>
      </c>
      <c r="AA1563" s="1">
        <v>6666250</v>
      </c>
      <c r="AB1563" s="1" t="s">
        <v>1175</v>
      </c>
      <c r="AC1563" s="5">
        <v>42823</v>
      </c>
      <c r="AF1563" s="1">
        <v>10010</v>
      </c>
      <c r="AJ1563" s="1">
        <v>1912</v>
      </c>
      <c r="AK1563" s="1" t="s">
        <v>81</v>
      </c>
      <c r="AL1563" s="1">
        <v>48</v>
      </c>
    </row>
    <row r="1564" spans="1:38" x14ac:dyDescent="0.2">
      <c r="A1564" s="2" t="str">
        <f>HYPERLINK("https://www.compass.com/listing/212-5th-avenue-unit-3b-manhattan-ny-10010/803394668381423665/","212 5th Ave, Unit 3B")</f>
        <v>212 5th Ave, Unit 3B</v>
      </c>
      <c r="B1564" s="2" t="str">
        <f t="shared" si="272"/>
        <v>212 5th Ave</v>
      </c>
      <c r="C1564" s="1" t="s">
        <v>95</v>
      </c>
      <c r="D1564" s="1" t="s">
        <v>41</v>
      </c>
      <c r="E1564" s="3">
        <v>7013419</v>
      </c>
      <c r="F1564" s="1">
        <v>2604.3144262903802</v>
      </c>
      <c r="G1564" s="1">
        <v>7</v>
      </c>
      <c r="H1564" s="1">
        <v>3</v>
      </c>
      <c r="I1564" s="1">
        <v>4</v>
      </c>
      <c r="J1564" s="1">
        <v>3.5</v>
      </c>
      <c r="M1564" s="4">
        <v>2693</v>
      </c>
      <c r="N1564" s="1">
        <v>2602</v>
      </c>
      <c r="O1564" s="1">
        <v>5507</v>
      </c>
      <c r="P1564" s="1">
        <v>2905</v>
      </c>
      <c r="Q1564" s="1" t="s">
        <v>42</v>
      </c>
      <c r="S1564" s="1" t="s">
        <v>42</v>
      </c>
      <c r="T1564" s="1" t="s">
        <v>203</v>
      </c>
      <c r="U1564" s="1">
        <v>120</v>
      </c>
      <c r="V1564" s="5">
        <v>42775</v>
      </c>
      <c r="W1564" s="5">
        <v>42292</v>
      </c>
      <c r="X1564" s="1">
        <v>6950000</v>
      </c>
      <c r="Y1564" s="1">
        <v>6950000</v>
      </c>
      <c r="Z1564" s="5">
        <v>42524</v>
      </c>
      <c r="AA1564" s="1">
        <v>7013418.75</v>
      </c>
      <c r="AB1564" s="1" t="s">
        <v>1178</v>
      </c>
      <c r="AC1564" s="5">
        <v>42832</v>
      </c>
      <c r="AF1564" s="1">
        <v>10010</v>
      </c>
      <c r="AJ1564" s="1">
        <v>1912</v>
      </c>
      <c r="AK1564" s="1" t="s">
        <v>81</v>
      </c>
      <c r="AL1564" s="1">
        <v>48</v>
      </c>
    </row>
    <row r="1565" spans="1:38" x14ac:dyDescent="0.2">
      <c r="A1565" s="2" t="str">
        <f>HYPERLINK("https://www.compass.com/listing/212-5th-avenue-unit-4a-manhattan-ny-10010/803420887663324977/","212 5th Ave, Unit 4A")</f>
        <v>212 5th Ave, Unit 4A</v>
      </c>
      <c r="B1565" s="2" t="str">
        <f t="shared" si="272"/>
        <v>212 5th Ave</v>
      </c>
      <c r="C1565" s="1" t="s">
        <v>95</v>
      </c>
      <c r="D1565" s="1" t="s">
        <v>41</v>
      </c>
      <c r="E1565" s="3">
        <v>11000000</v>
      </c>
      <c r="F1565" s="1">
        <v>3664.22385076615</v>
      </c>
      <c r="G1565" s="1">
        <v>7</v>
      </c>
      <c r="H1565" s="1">
        <v>3</v>
      </c>
      <c r="I1565" s="1">
        <v>4</v>
      </c>
      <c r="J1565" s="1">
        <v>3.5</v>
      </c>
      <c r="M1565" s="4">
        <v>3002</v>
      </c>
      <c r="N1565" s="1">
        <v>3565</v>
      </c>
      <c r="O1565" s="1">
        <v>7546</v>
      </c>
      <c r="P1565" s="1">
        <v>3981</v>
      </c>
      <c r="Q1565" s="1" t="s">
        <v>42</v>
      </c>
      <c r="S1565" s="1" t="s">
        <v>42</v>
      </c>
      <c r="T1565" s="1" t="s">
        <v>203</v>
      </c>
      <c r="V1565" s="5">
        <v>42775</v>
      </c>
      <c r="W1565" s="5">
        <v>42314</v>
      </c>
      <c r="X1565" s="1">
        <v>11000000</v>
      </c>
      <c r="Y1565" s="1">
        <v>11000000</v>
      </c>
      <c r="Z1565" s="5">
        <v>42314</v>
      </c>
      <c r="AA1565" s="1">
        <v>11000000</v>
      </c>
      <c r="AB1565" s="1" t="s">
        <v>1168</v>
      </c>
      <c r="AC1565" s="5">
        <v>42818</v>
      </c>
      <c r="AF1565" s="1">
        <v>10010</v>
      </c>
      <c r="AJ1565" s="1">
        <v>1912</v>
      </c>
      <c r="AK1565" s="1" t="s">
        <v>81</v>
      </c>
      <c r="AL1565" s="1">
        <v>48</v>
      </c>
    </row>
    <row r="1566" spans="1:38" x14ac:dyDescent="0.2">
      <c r="A1566" s="2" t="str">
        <f>HYPERLINK("https://www.compass.com/listing/212-5th-avenue-unit-17a-manhattan-ny-10010/29374789131039985/","212 5th Ave, Unit 17A")</f>
        <v>212 5th Ave, Unit 17A</v>
      </c>
      <c r="B1566" s="2" t="str">
        <f t="shared" si="272"/>
        <v>212 5th Ave</v>
      </c>
      <c r="C1566" s="1" t="s">
        <v>95</v>
      </c>
      <c r="D1566" s="1" t="s">
        <v>41</v>
      </c>
      <c r="E1566" s="3">
        <v>15647690</v>
      </c>
      <c r="F1566" s="1">
        <v>3765.9903730445199</v>
      </c>
      <c r="G1566" s="1">
        <v>6</v>
      </c>
      <c r="H1566" s="1">
        <v>4</v>
      </c>
      <c r="I1566" s="1">
        <v>5</v>
      </c>
      <c r="J1566" s="1">
        <v>4.5</v>
      </c>
      <c r="K1566" s="1">
        <v>4</v>
      </c>
      <c r="L1566" s="1">
        <v>1</v>
      </c>
      <c r="M1566" s="4">
        <v>4155</v>
      </c>
      <c r="N1566" s="1">
        <v>5510</v>
      </c>
      <c r="O1566" s="1">
        <v>11662</v>
      </c>
      <c r="P1566" s="1">
        <v>6152</v>
      </c>
      <c r="Q1566" s="1" t="s">
        <v>42</v>
      </c>
      <c r="S1566" s="1" t="s">
        <v>42</v>
      </c>
      <c r="T1566" s="1" t="s">
        <v>203</v>
      </c>
      <c r="U1566" s="1">
        <v>16</v>
      </c>
      <c r="V1566" s="5">
        <v>42769</v>
      </c>
      <c r="W1566" s="5">
        <v>42662</v>
      </c>
      <c r="X1566" s="1">
        <v>16600000</v>
      </c>
      <c r="Y1566" s="1">
        <v>16600000</v>
      </c>
      <c r="AA1566" s="1">
        <v>15647690</v>
      </c>
      <c r="AB1566" s="1" t="s">
        <v>1182</v>
      </c>
      <c r="AC1566" s="5">
        <v>42886</v>
      </c>
      <c r="AF1566" s="1">
        <v>10010</v>
      </c>
      <c r="AJ1566" s="1">
        <v>1912</v>
      </c>
      <c r="AK1566" s="1" t="s">
        <v>81</v>
      </c>
      <c r="AL1566" s="1">
        <v>48</v>
      </c>
    </row>
    <row r="1567" spans="1:38" x14ac:dyDescent="0.2">
      <c r="A1567" s="2" t="str">
        <f>HYPERLINK("https://www.compass.com/listing/308-west-30th-street-unit-4f-manhattan-ny-10001/29371597861238177/","308 W 30th St, Unit 4F")</f>
        <v>308 W 30th St, Unit 4F</v>
      </c>
      <c r="B1567" s="2" t="str">
        <f>HYPERLINK("https://www.compass.com/building/the-irvin-house-manhattan-ny/281883290133070869/","The Irvin House")</f>
        <v>The Irvin House</v>
      </c>
      <c r="C1567" s="1" t="s">
        <v>62</v>
      </c>
      <c r="D1567" s="1" t="s">
        <v>41</v>
      </c>
      <c r="E1567" s="3">
        <v>820000</v>
      </c>
      <c r="F1567" s="1">
        <v>1459.0747330960801</v>
      </c>
      <c r="G1567" s="1">
        <v>3</v>
      </c>
      <c r="H1567" s="1">
        <v>1</v>
      </c>
      <c r="I1567" s="1">
        <v>1</v>
      </c>
      <c r="J1567" s="1">
        <v>1</v>
      </c>
      <c r="M1567" s="1">
        <v>562</v>
      </c>
      <c r="N1567" s="1">
        <v>483</v>
      </c>
      <c r="O1567" s="1">
        <v>941</v>
      </c>
      <c r="P1567" s="1">
        <v>458</v>
      </c>
      <c r="Q1567" s="1" t="s">
        <v>42</v>
      </c>
      <c r="S1567" s="1" t="s">
        <v>42</v>
      </c>
      <c r="T1567" s="1" t="s">
        <v>203</v>
      </c>
      <c r="U1567" s="1">
        <v>269</v>
      </c>
      <c r="V1567" s="5">
        <v>43676</v>
      </c>
      <c r="W1567" s="5">
        <v>42524</v>
      </c>
      <c r="X1567" s="1">
        <v>955000</v>
      </c>
      <c r="Y1567" s="1">
        <v>875000</v>
      </c>
      <c r="AA1567" s="1">
        <v>820000</v>
      </c>
      <c r="AB1567" s="1" t="s">
        <v>1183</v>
      </c>
      <c r="AC1567" s="5">
        <v>42793</v>
      </c>
      <c r="AF1567" s="1">
        <v>10001</v>
      </c>
      <c r="AI1567" s="1" t="s">
        <v>89</v>
      </c>
      <c r="AJ1567" s="1">
        <v>1925</v>
      </c>
      <c r="AL1567" s="1">
        <v>61</v>
      </c>
    </row>
    <row r="1568" spans="1:38" x14ac:dyDescent="0.2">
      <c r="A1568" s="2" t="str">
        <f>HYPERLINK("https://www.compass.com/listing/70-vestry-street-unit-4a-manhattan-ny-10013/20330458692731729/","70 Vestry St, Unit 4A")</f>
        <v>70 Vestry St, Unit 4A</v>
      </c>
      <c r="B1568" s="2" t="str">
        <f t="shared" ref="B1568:B1569" si="273">HYPERLINK("https://www.compass.com/building/70-vestry-st-manhattan-ny-10013/281921126949489413/","70 Vestry St")</f>
        <v>70 Vestry St</v>
      </c>
      <c r="C1568" s="1" t="s">
        <v>40</v>
      </c>
      <c r="D1568" s="1" t="s">
        <v>41</v>
      </c>
      <c r="E1568" s="3">
        <v>8255000</v>
      </c>
      <c r="F1568" s="1">
        <v>2902.60196905766</v>
      </c>
      <c r="G1568" s="1">
        <v>8</v>
      </c>
      <c r="H1568" s="1">
        <v>4</v>
      </c>
      <c r="I1568" s="1">
        <v>4</v>
      </c>
      <c r="J1568" s="1">
        <v>4.5</v>
      </c>
      <c r="K1568" s="1">
        <v>4</v>
      </c>
      <c r="L1568" s="1">
        <v>1</v>
      </c>
      <c r="M1568" s="4">
        <v>2844</v>
      </c>
      <c r="N1568" s="1">
        <v>4794</v>
      </c>
      <c r="O1568" s="1">
        <v>9906</v>
      </c>
      <c r="P1568" s="1">
        <v>5112</v>
      </c>
      <c r="Q1568" s="1" t="s">
        <v>42</v>
      </c>
      <c r="S1568" s="1" t="s">
        <v>42</v>
      </c>
      <c r="T1568" s="1" t="s">
        <v>203</v>
      </c>
      <c r="U1568" s="1">
        <v>200</v>
      </c>
      <c r="V1568" s="5">
        <v>43806</v>
      </c>
      <c r="W1568" s="5">
        <v>42531</v>
      </c>
      <c r="X1568" s="1">
        <v>8255000</v>
      </c>
      <c r="Y1568" s="1">
        <v>8550000</v>
      </c>
      <c r="Z1568" s="5">
        <v>42732</v>
      </c>
      <c r="AA1568" s="1">
        <v>8255000</v>
      </c>
      <c r="AB1568" s="1" t="s">
        <v>1184</v>
      </c>
      <c r="AC1568" s="5">
        <v>43263</v>
      </c>
      <c r="AF1568" s="1">
        <v>10013</v>
      </c>
      <c r="AJ1568" s="1">
        <v>2018</v>
      </c>
      <c r="AK1568" s="1" t="s">
        <v>81</v>
      </c>
      <c r="AL1568" s="1">
        <v>46</v>
      </c>
    </row>
    <row r="1569" spans="1:38" x14ac:dyDescent="0.2">
      <c r="A1569" s="2" t="str">
        <f>HYPERLINK("https://www.compass.com/listing/70-vestry-street-unit-12n-manhattan-ny-10013/688355323345746041/","70 Vestry St, Unit 12N")</f>
        <v>70 Vestry St, Unit 12N</v>
      </c>
      <c r="B1569" s="2" t="str">
        <f t="shared" si="273"/>
        <v>70 Vestry St</v>
      </c>
      <c r="C1569" s="1" t="s">
        <v>40</v>
      </c>
      <c r="D1569" s="1" t="s">
        <v>41</v>
      </c>
      <c r="E1569" s="3">
        <v>36800000</v>
      </c>
      <c r="F1569" s="1">
        <v>7919.0875833871296</v>
      </c>
      <c r="H1569" s="1">
        <v>5</v>
      </c>
      <c r="J1569" s="1">
        <v>5.5</v>
      </c>
      <c r="K1569" s="1">
        <v>5</v>
      </c>
      <c r="L1569" s="1">
        <v>1</v>
      </c>
      <c r="M1569" s="4">
        <v>4647</v>
      </c>
      <c r="N1569" s="1">
        <v>8646</v>
      </c>
      <c r="O1569" s="1">
        <v>17867</v>
      </c>
      <c r="P1569" s="1">
        <v>9221</v>
      </c>
      <c r="Q1569" s="1" t="s">
        <v>42</v>
      </c>
      <c r="S1569" s="1" t="s">
        <v>42</v>
      </c>
      <c r="T1569" s="1" t="s">
        <v>203</v>
      </c>
      <c r="AA1569" s="1">
        <v>36800000</v>
      </c>
      <c r="AB1569" s="1" t="s">
        <v>1185</v>
      </c>
      <c r="AC1569" s="5">
        <v>44181</v>
      </c>
      <c r="AF1569" s="1">
        <v>10013</v>
      </c>
      <c r="AJ1569" s="1">
        <v>2018</v>
      </c>
      <c r="AK1569" s="1" t="s">
        <v>50</v>
      </c>
      <c r="AL1569" s="1">
        <v>46</v>
      </c>
    </row>
    <row r="1570" spans="1:38" x14ac:dyDescent="0.2">
      <c r="A1570" s="2" t="str">
        <f>HYPERLINK("https://www.compass.com/listing/212-5th-avenue-unit-12b-manhattan-ny-10010/567113372951464273/","212 5th Ave, Unit 12B")</f>
        <v>212 5th Ave, Unit 12B</v>
      </c>
      <c r="B1570" s="2" t="str">
        <f>HYPERLINK("https://www.compass.com/building/212-5th-ave-manhattan-ny-10010/281902136567020981/","212 5th Ave")</f>
        <v>212 5th Ave</v>
      </c>
      <c r="C1570" s="1" t="s">
        <v>95</v>
      </c>
      <c r="D1570" s="1" t="s">
        <v>41</v>
      </c>
      <c r="E1570" s="3">
        <v>3250000</v>
      </c>
      <c r="F1570" s="1">
        <v>1206.83252877831</v>
      </c>
      <c r="H1570" s="1">
        <v>3</v>
      </c>
      <c r="J1570" s="1">
        <v>3.5</v>
      </c>
      <c r="K1570" s="1">
        <v>3</v>
      </c>
      <c r="L1570" s="1">
        <v>1</v>
      </c>
      <c r="M1570" s="4">
        <v>2693</v>
      </c>
      <c r="N1570" s="1">
        <v>3141</v>
      </c>
      <c r="O1570" s="1">
        <v>5345</v>
      </c>
      <c r="P1570" s="1">
        <v>2204</v>
      </c>
      <c r="Q1570" s="1" t="s">
        <v>42</v>
      </c>
      <c r="S1570" s="1" t="s">
        <v>42</v>
      </c>
      <c r="T1570" s="1" t="s">
        <v>203</v>
      </c>
      <c r="AA1570" s="1">
        <v>3250000</v>
      </c>
      <c r="AB1570" s="1" t="s">
        <v>1186</v>
      </c>
      <c r="AC1570" s="5">
        <v>44001</v>
      </c>
      <c r="AF1570" s="1">
        <v>10010</v>
      </c>
      <c r="AJ1570" s="1">
        <v>1912</v>
      </c>
      <c r="AK1570" s="1" t="s">
        <v>50</v>
      </c>
      <c r="AL1570" s="1">
        <v>48</v>
      </c>
    </row>
    <row r="1571" spans="1:38" x14ac:dyDescent="0.2">
      <c r="A1571" s="2" t="str">
        <f>HYPERLINK("https://www.compass.com/listing/308-west-30th-street-unit-8e-manhattan-ny-10001/212932265250916961/","308 W 30th St, Unit 8E")</f>
        <v>308 W 30th St, Unit 8E</v>
      </c>
      <c r="B1571" s="2" t="str">
        <f t="shared" ref="B1571:B1574" si="274">HYPERLINK("https://www.compass.com/building/the-irvin-house-manhattan-ny/281883290133070869/","The Irvin House")</f>
        <v>The Irvin House</v>
      </c>
      <c r="C1571" s="1" t="s">
        <v>62</v>
      </c>
      <c r="D1571" s="1" t="s">
        <v>41</v>
      </c>
      <c r="E1571" s="3">
        <v>1066107</v>
      </c>
      <c r="F1571" s="1">
        <v>1480.7041666666601</v>
      </c>
      <c r="G1571" s="1">
        <v>4</v>
      </c>
      <c r="H1571" s="1">
        <v>2</v>
      </c>
      <c r="I1571" s="1">
        <v>1</v>
      </c>
      <c r="J1571" s="1">
        <v>1.5</v>
      </c>
      <c r="K1571" s="1">
        <v>1</v>
      </c>
      <c r="L1571" s="1">
        <v>1</v>
      </c>
      <c r="M1571" s="1">
        <v>720</v>
      </c>
      <c r="N1571" s="1">
        <v>680.46</v>
      </c>
      <c r="O1571" s="1">
        <v>1270.19</v>
      </c>
      <c r="P1571" s="1">
        <v>589.75</v>
      </c>
      <c r="Q1571" s="1" t="s">
        <v>42</v>
      </c>
      <c r="S1571" s="1" t="s">
        <v>42</v>
      </c>
      <c r="T1571" s="1" t="s">
        <v>203</v>
      </c>
      <c r="V1571" s="5">
        <v>43654</v>
      </c>
      <c r="W1571" s="5">
        <v>41732</v>
      </c>
      <c r="X1571" s="1">
        <v>1047000</v>
      </c>
      <c r="Y1571" s="1">
        <v>1047000</v>
      </c>
      <c r="Z1571" s="5">
        <v>41732</v>
      </c>
      <c r="AA1571" s="1">
        <v>1066107</v>
      </c>
      <c r="AB1571" s="1" t="s">
        <v>204</v>
      </c>
      <c r="AC1571" s="5">
        <v>41864</v>
      </c>
      <c r="AF1571" s="1">
        <v>10001</v>
      </c>
      <c r="AI1571" s="1" t="s">
        <v>315</v>
      </c>
      <c r="AJ1571" s="1">
        <v>1925</v>
      </c>
      <c r="AL1571" s="1">
        <v>61</v>
      </c>
    </row>
    <row r="1572" spans="1:38" x14ac:dyDescent="0.2">
      <c r="A1572" s="2" t="str">
        <f>HYPERLINK("https://www.compass.com/listing/308-west-30th-street-unit-5e-manhattan-ny-10001/29510360805440225/","308 W 30th St, Unit 5E")</f>
        <v>308 W 30th St, Unit 5E</v>
      </c>
      <c r="B1572" s="2" t="str">
        <f t="shared" si="274"/>
        <v>The Irvin House</v>
      </c>
      <c r="C1572" s="1" t="s">
        <v>62</v>
      </c>
      <c r="D1572" s="1" t="s">
        <v>41</v>
      </c>
      <c r="E1572" s="3">
        <v>1064627</v>
      </c>
      <c r="F1572" s="1">
        <v>1478.6486111111101</v>
      </c>
      <c r="G1572" s="1">
        <v>4</v>
      </c>
      <c r="H1572" s="1">
        <v>2</v>
      </c>
      <c r="I1572" s="1">
        <v>1</v>
      </c>
      <c r="J1572" s="1">
        <v>1</v>
      </c>
      <c r="K1572" s="1">
        <v>1</v>
      </c>
      <c r="M1572" s="1">
        <v>720</v>
      </c>
      <c r="N1572" s="1">
        <v>591</v>
      </c>
      <c r="O1572" s="1">
        <v>1419.94</v>
      </c>
      <c r="P1572" s="1">
        <v>828.91666666666595</v>
      </c>
      <c r="Q1572" s="1" t="s">
        <v>42</v>
      </c>
      <c r="S1572" s="1" t="s">
        <v>42</v>
      </c>
      <c r="T1572" s="1" t="s">
        <v>203</v>
      </c>
      <c r="U1572" s="1">
        <v>58</v>
      </c>
      <c r="V1572" s="5">
        <v>43636</v>
      </c>
      <c r="W1572" s="5">
        <v>43250</v>
      </c>
      <c r="X1572" s="1">
        <v>1150000</v>
      </c>
      <c r="Y1572" s="1">
        <v>1095500</v>
      </c>
      <c r="Z1572" s="5">
        <v>43308</v>
      </c>
      <c r="AA1572" s="1">
        <v>1064627</v>
      </c>
      <c r="AB1572" s="1" t="s">
        <v>1187</v>
      </c>
      <c r="AC1572" s="5">
        <v>43383</v>
      </c>
      <c r="AF1572" s="1">
        <v>10001</v>
      </c>
      <c r="AI1572" s="1" t="s">
        <v>315</v>
      </c>
      <c r="AJ1572" s="1">
        <v>1925</v>
      </c>
      <c r="AL1572" s="1">
        <v>61</v>
      </c>
    </row>
    <row r="1573" spans="1:38" x14ac:dyDescent="0.2">
      <c r="A1573" s="2" t="str">
        <f>HYPERLINK("https://www.compass.com/listing/308-west-30th-street-unit-9c-manhattan-ny-10001/4852314996287222273/","308 W 30th St, Unit 9C")</f>
        <v>308 W 30th St, Unit 9C</v>
      </c>
      <c r="B1573" s="2" t="str">
        <f t="shared" si="274"/>
        <v>The Irvin House</v>
      </c>
      <c r="C1573" s="1" t="s">
        <v>62</v>
      </c>
      <c r="D1573" s="1" t="s">
        <v>41</v>
      </c>
      <c r="E1573" s="3">
        <v>731615</v>
      </c>
      <c r="F1573" s="1">
        <v>1242.13073005093</v>
      </c>
      <c r="G1573" s="1">
        <v>3</v>
      </c>
      <c r="H1573" s="1">
        <v>1</v>
      </c>
      <c r="I1573" s="1">
        <v>1</v>
      </c>
      <c r="J1573" s="1">
        <v>1</v>
      </c>
      <c r="K1573" s="1">
        <v>1</v>
      </c>
      <c r="M1573" s="1">
        <v>589</v>
      </c>
      <c r="N1573" s="1">
        <v>523.29</v>
      </c>
      <c r="O1573" s="1">
        <v>976.81</v>
      </c>
      <c r="P1573" s="1">
        <v>453.5</v>
      </c>
      <c r="Q1573" s="1" t="s">
        <v>42</v>
      </c>
      <c r="S1573" s="1" t="s">
        <v>42</v>
      </c>
      <c r="T1573" s="1" t="s">
        <v>203</v>
      </c>
      <c r="U1573" s="1">
        <v>28</v>
      </c>
      <c r="V1573" s="5">
        <v>43656</v>
      </c>
      <c r="W1573" s="5">
        <v>41588</v>
      </c>
      <c r="X1573" s="1">
        <v>750000</v>
      </c>
      <c r="Y1573" s="1">
        <v>750000</v>
      </c>
      <c r="Z1573" s="5">
        <v>41616</v>
      </c>
      <c r="AA1573" s="1">
        <v>731615</v>
      </c>
      <c r="AB1573" s="1" t="s">
        <v>204</v>
      </c>
      <c r="AC1573" s="5">
        <v>41858</v>
      </c>
      <c r="AF1573" s="1">
        <v>10001</v>
      </c>
      <c r="AI1573" s="1" t="s">
        <v>315</v>
      </c>
      <c r="AJ1573" s="1">
        <v>1925</v>
      </c>
      <c r="AL1573" s="1">
        <v>61</v>
      </c>
    </row>
    <row r="1574" spans="1:38" x14ac:dyDescent="0.2">
      <c r="A1574" s="2" t="str">
        <f>HYPERLINK("https://www.compass.com/listing/308-west-30th-street-unit-6e-manhattan-ny-10001/4852315537880912753/","308 W 30th St, Unit 6E")</f>
        <v>308 W 30th St, Unit 6E</v>
      </c>
      <c r="B1574" s="2" t="str">
        <f t="shared" si="274"/>
        <v>The Irvin House</v>
      </c>
      <c r="C1574" s="1" t="s">
        <v>62</v>
      </c>
      <c r="D1574" s="1" t="s">
        <v>41</v>
      </c>
      <c r="E1574" s="3">
        <v>840000</v>
      </c>
      <c r="F1574" s="1">
        <v>1166.6666666666599</v>
      </c>
      <c r="G1574" s="1">
        <v>4</v>
      </c>
      <c r="H1574" s="1">
        <v>2</v>
      </c>
      <c r="I1574" s="1">
        <v>1</v>
      </c>
      <c r="J1574" s="1">
        <v>1</v>
      </c>
      <c r="K1574" s="1">
        <v>1</v>
      </c>
      <c r="M1574" s="1">
        <v>720</v>
      </c>
      <c r="N1574" s="1">
        <v>661.04</v>
      </c>
      <c r="O1574" s="1">
        <v>1233.94</v>
      </c>
      <c r="P1574" s="1">
        <v>572.91666666666595</v>
      </c>
      <c r="Q1574" s="1" t="s">
        <v>42</v>
      </c>
      <c r="S1574" s="1" t="s">
        <v>42</v>
      </c>
      <c r="T1574" s="1" t="s">
        <v>203</v>
      </c>
      <c r="V1574" s="5">
        <v>43654</v>
      </c>
      <c r="W1574" s="5">
        <v>41731</v>
      </c>
      <c r="X1574" s="1">
        <v>985000</v>
      </c>
      <c r="Y1574" s="1">
        <v>985000</v>
      </c>
      <c r="Z1574" s="5">
        <v>41731</v>
      </c>
      <c r="AA1574" s="1">
        <v>840000</v>
      </c>
      <c r="AB1574" s="1" t="s">
        <v>204</v>
      </c>
      <c r="AC1574" s="5">
        <v>41887</v>
      </c>
      <c r="AF1574" s="1">
        <v>10001</v>
      </c>
      <c r="AI1574" s="1" t="s">
        <v>315</v>
      </c>
      <c r="AJ1574" s="1">
        <v>1925</v>
      </c>
      <c r="AL1574" s="1">
        <v>61</v>
      </c>
    </row>
    <row r="1575" spans="1:38" x14ac:dyDescent="0.2">
      <c r="A1575" s="2" t="str">
        <f>HYPERLINK("https://www.compass.com/listing/212-5th-avenue-unit-10a-manhattan-ny-10010/286405490039073969/","212 5th Ave, Unit 10A")</f>
        <v>212 5th Ave, Unit 10A</v>
      </c>
      <c r="B1575" s="2" t="str">
        <f t="shared" ref="B1575:B1578" si="275">HYPERLINK("https://www.compass.com/building/212-5th-ave-manhattan-ny-10010/281902136567020981/","212 5th Ave")</f>
        <v>212 5th Ave</v>
      </c>
      <c r="C1575" s="1" t="s">
        <v>95</v>
      </c>
      <c r="D1575" s="1" t="s">
        <v>41</v>
      </c>
      <c r="E1575" s="3">
        <v>11400000</v>
      </c>
      <c r="F1575" s="1">
        <v>3789.8936170212701</v>
      </c>
      <c r="H1575" s="1">
        <v>3</v>
      </c>
      <c r="J1575" s="1">
        <v>3.5</v>
      </c>
      <c r="K1575" s="1">
        <v>3</v>
      </c>
      <c r="L1575" s="1">
        <v>1</v>
      </c>
      <c r="M1575" s="4">
        <v>3008</v>
      </c>
      <c r="N1575" s="1">
        <v>4240</v>
      </c>
      <c r="O1575" s="1">
        <v>9402</v>
      </c>
      <c r="P1575" s="1">
        <v>5162</v>
      </c>
      <c r="Q1575" s="1" t="s">
        <v>42</v>
      </c>
      <c r="S1575" s="1" t="s">
        <v>42</v>
      </c>
      <c r="T1575" s="1" t="s">
        <v>203</v>
      </c>
      <c r="AA1575" s="1">
        <v>11400000</v>
      </c>
      <c r="AB1575" s="1" t="s">
        <v>1188</v>
      </c>
      <c r="AC1575" s="5">
        <v>43586</v>
      </c>
      <c r="AF1575" s="1">
        <v>10010</v>
      </c>
      <c r="AJ1575" s="1">
        <v>1912</v>
      </c>
      <c r="AK1575" s="1" t="s">
        <v>50</v>
      </c>
      <c r="AL1575" s="1">
        <v>48</v>
      </c>
    </row>
    <row r="1576" spans="1:38" x14ac:dyDescent="0.2">
      <c r="A1576" s="2" t="str">
        <f>HYPERLINK("https://www.compass.com/listing/212-5th-avenue-unit-19a-manhattan-ny-10010/483795348578645825/","212 5th Ave, Unit 19A")</f>
        <v>212 5th Ave, Unit 19A</v>
      </c>
      <c r="B1576" s="2" t="str">
        <f t="shared" si="275"/>
        <v>212 5th Ave</v>
      </c>
      <c r="C1576" s="1" t="s">
        <v>95</v>
      </c>
      <c r="D1576" s="1" t="s">
        <v>41</v>
      </c>
      <c r="E1576" s="3">
        <v>28225000</v>
      </c>
      <c r="F1576" s="1">
        <v>3938.18892144551</v>
      </c>
      <c r="H1576" s="1">
        <v>4</v>
      </c>
      <c r="J1576" s="1">
        <v>4.5</v>
      </c>
      <c r="K1576" s="1">
        <v>4</v>
      </c>
      <c r="L1576" s="1">
        <v>1</v>
      </c>
      <c r="M1576" s="4">
        <v>7167</v>
      </c>
      <c r="N1576" s="1">
        <v>5868</v>
      </c>
      <c r="O1576" s="1">
        <v>12419</v>
      </c>
      <c r="P1576" s="1">
        <v>6551</v>
      </c>
      <c r="Q1576" s="1" t="s">
        <v>42</v>
      </c>
      <c r="S1576" s="1" t="s">
        <v>42</v>
      </c>
      <c r="T1576" s="1" t="s">
        <v>203</v>
      </c>
      <c r="AA1576" s="1">
        <v>28225000</v>
      </c>
      <c r="AB1576" s="1" t="s">
        <v>1189</v>
      </c>
      <c r="AC1576" s="5">
        <v>42906</v>
      </c>
      <c r="AF1576" s="1">
        <v>10010</v>
      </c>
      <c r="AJ1576" s="1">
        <v>1912</v>
      </c>
      <c r="AK1576" s="1" t="s">
        <v>50</v>
      </c>
      <c r="AL1576" s="1">
        <v>48</v>
      </c>
    </row>
    <row r="1577" spans="1:38" x14ac:dyDescent="0.2">
      <c r="A1577" s="2" t="str">
        <f>HYPERLINK("https://www.compass.com/listing/212-5th-avenue-unit-20b-manhattan-ny-10010/497524986918371857/","212 5th Ave, Unit 20B")</f>
        <v>212 5th Ave, Unit 20B</v>
      </c>
      <c r="B1577" s="2" t="str">
        <f t="shared" si="275"/>
        <v>212 5th Ave</v>
      </c>
      <c r="C1577" s="1" t="s">
        <v>95</v>
      </c>
      <c r="D1577" s="1" t="s">
        <v>41</v>
      </c>
      <c r="E1577" s="3">
        <v>16132000</v>
      </c>
      <c r="F1577" s="1">
        <v>5241.0656270305299</v>
      </c>
      <c r="H1577" s="1">
        <v>3</v>
      </c>
      <c r="J1577" s="1">
        <v>3.5</v>
      </c>
      <c r="K1577" s="1">
        <v>3</v>
      </c>
      <c r="L1577" s="1">
        <v>1</v>
      </c>
      <c r="M1577" s="4">
        <v>3078</v>
      </c>
      <c r="N1577" s="1">
        <v>4759</v>
      </c>
      <c r="O1577" s="1">
        <v>8099</v>
      </c>
      <c r="P1577" s="1">
        <v>3340</v>
      </c>
      <c r="Q1577" s="1" t="s">
        <v>42</v>
      </c>
      <c r="S1577" s="1" t="s">
        <v>42</v>
      </c>
      <c r="T1577" s="1" t="s">
        <v>203</v>
      </c>
      <c r="AA1577" s="1">
        <v>16132000</v>
      </c>
      <c r="AB1577" s="1" t="s">
        <v>1190</v>
      </c>
      <c r="AC1577" s="5">
        <v>43928</v>
      </c>
      <c r="AF1577" s="1">
        <v>10010</v>
      </c>
      <c r="AJ1577" s="1">
        <v>1912</v>
      </c>
      <c r="AK1577" s="1" t="s">
        <v>50</v>
      </c>
      <c r="AL1577" s="1">
        <v>48</v>
      </c>
    </row>
    <row r="1578" spans="1:38" x14ac:dyDescent="0.2">
      <c r="A1578" s="2" t="str">
        <f>HYPERLINK("https://www.compass.com/listing/212-5th-avenue-unit-20a-manhattan-ny-10010/843206396603234737/","212 5th Ave, Unit 20A")</f>
        <v>212 5th Ave, Unit 20A</v>
      </c>
      <c r="B1578" s="2" t="str">
        <f t="shared" si="275"/>
        <v>212 5th Ave</v>
      </c>
      <c r="C1578" s="1" t="s">
        <v>95</v>
      </c>
      <c r="D1578" s="1" t="s">
        <v>41</v>
      </c>
      <c r="E1578" s="3">
        <v>23000000</v>
      </c>
      <c r="F1578" s="1">
        <v>5535.4993983152799</v>
      </c>
      <c r="H1578" s="1">
        <v>4</v>
      </c>
      <c r="J1578" s="1">
        <v>4.5</v>
      </c>
      <c r="K1578" s="1">
        <v>4</v>
      </c>
      <c r="L1578" s="1">
        <v>1</v>
      </c>
      <c r="M1578" s="4">
        <v>4155</v>
      </c>
      <c r="N1578" s="1">
        <v>6921</v>
      </c>
      <c r="O1578" s="1">
        <v>11777</v>
      </c>
      <c r="P1578" s="1">
        <v>4856</v>
      </c>
      <c r="Q1578" s="1" t="s">
        <v>42</v>
      </c>
      <c r="S1578" s="1" t="s">
        <v>42</v>
      </c>
      <c r="T1578" s="1" t="s">
        <v>203</v>
      </c>
      <c r="AA1578" s="1">
        <v>23000000</v>
      </c>
      <c r="AB1578" s="1" t="s">
        <v>1191</v>
      </c>
      <c r="AC1578" s="5">
        <v>44407</v>
      </c>
      <c r="AF1578" s="1">
        <v>10010</v>
      </c>
      <c r="AJ1578" s="1">
        <v>1912</v>
      </c>
      <c r="AK1578" s="1" t="s">
        <v>50</v>
      </c>
      <c r="AL1578" s="1">
        <v>48</v>
      </c>
    </row>
    <row r="1579" spans="1:38" x14ac:dyDescent="0.2">
      <c r="A1579" s="2" t="str">
        <f>HYPERLINK("https://www.compass.com/listing/15-leonard-street-unit-ph-manhattan-ny-10013/480865785024593577/","15 Leonard St, Unit PH")</f>
        <v>15 Leonard St, Unit PH</v>
      </c>
      <c r="B1579" s="2" t="str">
        <f>HYPERLINK("https://www.compass.com/building/15-leonard-st-manhattan-ny-10013/281917245892885845/","15 Leonard St")</f>
        <v>15 Leonard St</v>
      </c>
      <c r="C1579" s="1" t="s">
        <v>40</v>
      </c>
      <c r="D1579" s="1" t="s">
        <v>41</v>
      </c>
      <c r="E1579" s="3">
        <v>7070352</v>
      </c>
      <c r="F1579" s="1">
        <v>1545.77007651945</v>
      </c>
      <c r="H1579" s="1">
        <v>5</v>
      </c>
      <c r="J1579" s="1">
        <v>6</v>
      </c>
      <c r="M1579" s="4">
        <v>4574</v>
      </c>
      <c r="N1579" s="1">
        <v>4229</v>
      </c>
      <c r="O1579" s="1">
        <v>8781</v>
      </c>
      <c r="P1579" s="1">
        <v>4552</v>
      </c>
      <c r="Q1579" s="1" t="s">
        <v>42</v>
      </c>
      <c r="S1579" s="1" t="s">
        <v>42</v>
      </c>
      <c r="T1579" s="1" t="s">
        <v>203</v>
      </c>
      <c r="AA1579" s="1">
        <v>7070352.3300000001</v>
      </c>
      <c r="AB1579" s="1" t="s">
        <v>1192</v>
      </c>
      <c r="AC1579" s="5">
        <v>42579</v>
      </c>
      <c r="AF1579" s="1">
        <v>10013</v>
      </c>
      <c r="AI1579" s="1" t="s">
        <v>58</v>
      </c>
      <c r="AJ1579" s="1">
        <v>2014</v>
      </c>
      <c r="AL1579" s="1">
        <v>6</v>
      </c>
    </row>
    <row r="1580" spans="1:38" x14ac:dyDescent="0.2">
      <c r="A1580" s="2" t="str">
        <f>HYPERLINK("https://www.compass.com/listing/308-west-30th-street-unit-2d-manhattan-ny-10001/29371596175175025/","308 W 30th St, Unit 2D")</f>
        <v>308 W 30th St, Unit 2D</v>
      </c>
      <c r="B1580" s="2" t="str">
        <f t="shared" ref="B1580:B1590" si="276">HYPERLINK("https://www.compass.com/building/the-irvin-house-manhattan-ny/281883290133070869/","The Irvin House")</f>
        <v>The Irvin House</v>
      </c>
      <c r="C1580" s="1" t="s">
        <v>62</v>
      </c>
      <c r="D1580" s="1" t="s">
        <v>41</v>
      </c>
      <c r="E1580" s="3">
        <v>871000</v>
      </c>
      <c r="F1580" s="1">
        <v>1369.49685534591</v>
      </c>
      <c r="G1580" s="1">
        <v>3</v>
      </c>
      <c r="H1580" s="1">
        <v>1</v>
      </c>
      <c r="I1580" s="1">
        <v>1</v>
      </c>
      <c r="J1580" s="1">
        <v>1</v>
      </c>
      <c r="K1580" s="1">
        <v>1</v>
      </c>
      <c r="M1580" s="1">
        <v>636</v>
      </c>
      <c r="N1580" s="1">
        <v>539.73</v>
      </c>
      <c r="O1580" s="1">
        <v>1094.5899999999999</v>
      </c>
      <c r="P1580" s="1">
        <v>554.83333333333303</v>
      </c>
      <c r="Q1580" s="1" t="s">
        <v>42</v>
      </c>
      <c r="S1580" s="1" t="s">
        <v>42</v>
      </c>
      <c r="T1580" s="1" t="s">
        <v>203</v>
      </c>
      <c r="U1580" s="1">
        <v>17</v>
      </c>
      <c r="V1580" s="5">
        <v>43606</v>
      </c>
      <c r="W1580" s="5">
        <v>42280</v>
      </c>
      <c r="X1580" s="1">
        <v>850000</v>
      </c>
      <c r="Y1580" s="1">
        <v>850000</v>
      </c>
      <c r="Z1580" s="5">
        <v>42298</v>
      </c>
      <c r="AA1580" s="1">
        <v>871000</v>
      </c>
      <c r="AB1580" s="1" t="s">
        <v>1193</v>
      </c>
      <c r="AC1580" s="5">
        <v>42320</v>
      </c>
      <c r="AF1580" s="1">
        <v>10001</v>
      </c>
      <c r="AI1580" s="1" t="s">
        <v>315</v>
      </c>
      <c r="AJ1580" s="1">
        <v>1925</v>
      </c>
      <c r="AL1580" s="1">
        <v>61</v>
      </c>
    </row>
    <row r="1581" spans="1:38" x14ac:dyDescent="0.2">
      <c r="A1581" s="2" t="str">
        <f>HYPERLINK("https://www.compass.com/listing/308-west-30th-street-unit-9d-manhattan-ny-10001/4852314787008231153/","308 W 30th St, Unit 9D")</f>
        <v>308 W 30th St, Unit 9D</v>
      </c>
      <c r="B1581" s="2" t="str">
        <f t="shared" si="276"/>
        <v>The Irvin House</v>
      </c>
      <c r="C1581" s="1" t="s">
        <v>62</v>
      </c>
      <c r="D1581" s="1" t="s">
        <v>41</v>
      </c>
      <c r="E1581" s="3">
        <v>756843</v>
      </c>
      <c r="F1581" s="1">
        <v>1190.0047169811301</v>
      </c>
      <c r="G1581" s="1">
        <v>3</v>
      </c>
      <c r="H1581" s="1">
        <v>1</v>
      </c>
      <c r="I1581" s="1">
        <v>1</v>
      </c>
      <c r="J1581" s="1">
        <v>1</v>
      </c>
      <c r="K1581" s="1">
        <v>1</v>
      </c>
      <c r="M1581" s="1">
        <v>636</v>
      </c>
      <c r="N1581" s="1">
        <v>564.79</v>
      </c>
      <c r="O1581" s="1">
        <v>1054.27</v>
      </c>
      <c r="P1581" s="1">
        <v>489.5</v>
      </c>
      <c r="Q1581" s="1" t="s">
        <v>42</v>
      </c>
      <c r="S1581" s="1" t="s">
        <v>42</v>
      </c>
      <c r="T1581" s="1" t="s">
        <v>203</v>
      </c>
      <c r="U1581" s="1">
        <v>25</v>
      </c>
      <c r="V1581" s="5">
        <v>43656</v>
      </c>
      <c r="W1581" s="5">
        <v>41574</v>
      </c>
      <c r="X1581" s="1">
        <v>809000</v>
      </c>
      <c r="Y1581" s="1">
        <v>809000</v>
      </c>
      <c r="Z1581" s="5">
        <v>41599</v>
      </c>
      <c r="AA1581" s="1">
        <v>756843</v>
      </c>
      <c r="AB1581" s="1" t="s">
        <v>204</v>
      </c>
      <c r="AC1581" s="5">
        <v>41843</v>
      </c>
      <c r="AF1581" s="1">
        <v>10001</v>
      </c>
      <c r="AI1581" s="1" t="s">
        <v>315</v>
      </c>
      <c r="AJ1581" s="1">
        <v>1925</v>
      </c>
      <c r="AL1581" s="1">
        <v>61</v>
      </c>
    </row>
    <row r="1582" spans="1:38" x14ac:dyDescent="0.2">
      <c r="A1582" s="2" t="str">
        <f>HYPERLINK("https://www.compass.com/listing/308-west-30th-street-unit-10c-manhattan-ny-10001/4852314995347697953/","308 W 30th St, Unit 10C")</f>
        <v>308 W 30th St, Unit 10C</v>
      </c>
      <c r="B1582" s="2" t="str">
        <f t="shared" si="276"/>
        <v>The Irvin House</v>
      </c>
      <c r="C1582" s="1" t="s">
        <v>62</v>
      </c>
      <c r="D1582" s="1" t="s">
        <v>41</v>
      </c>
      <c r="E1582" s="3">
        <v>741706</v>
      </c>
      <c r="F1582" s="1">
        <v>1259.2631578947301</v>
      </c>
      <c r="G1582" s="1">
        <v>3</v>
      </c>
      <c r="H1582" s="1">
        <v>1</v>
      </c>
      <c r="I1582" s="1">
        <v>1</v>
      </c>
      <c r="J1582" s="1">
        <v>1</v>
      </c>
      <c r="K1582" s="1">
        <v>1</v>
      </c>
      <c r="M1582" s="1">
        <v>589</v>
      </c>
      <c r="N1582" s="1">
        <v>526.44000000000005</v>
      </c>
      <c r="O1582" s="1">
        <v>982.69</v>
      </c>
      <c r="P1582" s="1">
        <v>456.25</v>
      </c>
      <c r="Q1582" s="1" t="s">
        <v>42</v>
      </c>
      <c r="S1582" s="1" t="s">
        <v>42</v>
      </c>
      <c r="T1582" s="1" t="s">
        <v>203</v>
      </c>
      <c r="U1582" s="1">
        <v>19</v>
      </c>
      <c r="V1582" s="5">
        <v>43694</v>
      </c>
      <c r="W1582" s="5">
        <v>41588</v>
      </c>
      <c r="X1582" s="1">
        <v>760000</v>
      </c>
      <c r="Y1582" s="1">
        <v>760000</v>
      </c>
      <c r="Z1582" s="5">
        <v>41607</v>
      </c>
      <c r="AA1582" s="1">
        <v>741706</v>
      </c>
      <c r="AB1582" s="1" t="s">
        <v>204</v>
      </c>
      <c r="AC1582" s="5">
        <v>41858</v>
      </c>
      <c r="AF1582" s="1">
        <v>10001</v>
      </c>
      <c r="AI1582" s="1" t="s">
        <v>315</v>
      </c>
      <c r="AJ1582" s="1">
        <v>1925</v>
      </c>
      <c r="AL1582" s="1">
        <v>61</v>
      </c>
    </row>
    <row r="1583" spans="1:38" x14ac:dyDescent="0.2">
      <c r="A1583" s="2" t="str">
        <f>HYPERLINK("https://www.compass.com/listing/308-west-30th-street-unit-5b-manhattan-ny-10001/4852314998636032929/","308 W 30th St, Unit 5B")</f>
        <v>308 W 30th St, Unit 5B</v>
      </c>
      <c r="B1583" s="2" t="str">
        <f t="shared" si="276"/>
        <v>The Irvin House</v>
      </c>
      <c r="C1583" s="1" t="s">
        <v>62</v>
      </c>
      <c r="D1583" s="1" t="s">
        <v>41</v>
      </c>
      <c r="E1583" s="3">
        <v>1007106</v>
      </c>
      <c r="F1583" s="1">
        <v>1360.9540540540499</v>
      </c>
      <c r="G1583" s="1">
        <v>4</v>
      </c>
      <c r="H1583" s="1">
        <v>2</v>
      </c>
      <c r="I1583" s="1">
        <v>1</v>
      </c>
      <c r="J1583" s="1">
        <v>1</v>
      </c>
      <c r="K1583" s="1">
        <v>1</v>
      </c>
      <c r="M1583" s="1">
        <v>740</v>
      </c>
      <c r="N1583" s="1">
        <v>675.53</v>
      </c>
      <c r="O1583" s="1">
        <v>1260.99</v>
      </c>
      <c r="P1583" s="1">
        <v>585.5</v>
      </c>
      <c r="Q1583" s="1" t="s">
        <v>42</v>
      </c>
      <c r="S1583" s="1" t="s">
        <v>42</v>
      </c>
      <c r="T1583" s="1" t="s">
        <v>203</v>
      </c>
      <c r="U1583" s="1">
        <v>66</v>
      </c>
      <c r="V1583" s="5">
        <v>43656</v>
      </c>
      <c r="W1583" s="5">
        <v>41574</v>
      </c>
      <c r="X1583" s="1">
        <v>1000000</v>
      </c>
      <c r="Y1583" s="1">
        <v>1000000</v>
      </c>
      <c r="Z1583" s="5">
        <v>41640</v>
      </c>
      <c r="AA1583" s="1">
        <v>1007106</v>
      </c>
      <c r="AB1583" s="1" t="s">
        <v>204</v>
      </c>
      <c r="AC1583" s="5">
        <v>41850</v>
      </c>
      <c r="AF1583" s="1">
        <v>10001</v>
      </c>
      <c r="AI1583" s="1" t="s">
        <v>315</v>
      </c>
      <c r="AJ1583" s="1">
        <v>1925</v>
      </c>
      <c r="AL1583" s="1">
        <v>61</v>
      </c>
    </row>
    <row r="1584" spans="1:38" x14ac:dyDescent="0.2">
      <c r="A1584" s="2" t="str">
        <f>HYPERLINK("https://www.compass.com/listing/308-west-30th-street-unit-7e-manhattan-ny-10001/4852314999432950865/","308 W 30th St, Unit 7E")</f>
        <v>308 W 30th St, Unit 7E</v>
      </c>
      <c r="B1584" s="2" t="str">
        <f t="shared" si="276"/>
        <v>The Irvin House</v>
      </c>
      <c r="C1584" s="1" t="s">
        <v>62</v>
      </c>
      <c r="D1584" s="1" t="s">
        <v>41</v>
      </c>
      <c r="E1584" s="3">
        <v>998000</v>
      </c>
      <c r="F1584" s="1">
        <v>1386.1111111111099</v>
      </c>
      <c r="G1584" s="1">
        <v>4</v>
      </c>
      <c r="H1584" s="1">
        <v>2</v>
      </c>
      <c r="I1584" s="1">
        <v>1</v>
      </c>
      <c r="J1584" s="1">
        <v>1</v>
      </c>
      <c r="K1584" s="1">
        <v>1</v>
      </c>
      <c r="M1584" s="1">
        <v>720</v>
      </c>
      <c r="N1584" s="1">
        <v>676.4</v>
      </c>
      <c r="O1584" s="1">
        <v>1262.6099999999999</v>
      </c>
      <c r="P1584" s="1">
        <v>586.25</v>
      </c>
      <c r="Q1584" s="1" t="s">
        <v>42</v>
      </c>
      <c r="S1584" s="1" t="s">
        <v>42</v>
      </c>
      <c r="T1584" s="1" t="s">
        <v>203</v>
      </c>
      <c r="U1584" s="1">
        <v>49</v>
      </c>
      <c r="V1584" s="5">
        <v>43656</v>
      </c>
      <c r="W1584" s="5">
        <v>41574</v>
      </c>
      <c r="X1584" s="1">
        <v>1034000</v>
      </c>
      <c r="Y1584" s="1">
        <v>1034000</v>
      </c>
      <c r="Z1584" s="5">
        <v>41623</v>
      </c>
      <c r="AA1584" s="1">
        <v>998000</v>
      </c>
      <c r="AB1584" s="1" t="s">
        <v>204</v>
      </c>
      <c r="AC1584" s="5">
        <v>41858</v>
      </c>
      <c r="AF1584" s="1">
        <v>10001</v>
      </c>
      <c r="AI1584" s="1" t="s">
        <v>315</v>
      </c>
      <c r="AJ1584" s="1">
        <v>1925</v>
      </c>
      <c r="AL1584" s="1">
        <v>61</v>
      </c>
    </row>
    <row r="1585" spans="1:38" x14ac:dyDescent="0.2">
      <c r="A1585" s="2" t="str">
        <f>HYPERLINK("https://www.compass.com/listing/308-west-30th-street-unit-3e-manhattan-ny-10001/4852315000171148513/","308 W 30th St, Unit 3E")</f>
        <v>308 W 30th St, Unit 3E</v>
      </c>
      <c r="B1585" s="2" t="str">
        <f t="shared" si="276"/>
        <v>The Irvin House</v>
      </c>
      <c r="C1585" s="1" t="s">
        <v>62</v>
      </c>
      <c r="D1585" s="1" t="s">
        <v>41</v>
      </c>
      <c r="E1585" s="3">
        <v>927625</v>
      </c>
      <c r="G1585" s="1">
        <v>4</v>
      </c>
      <c r="H1585" s="1">
        <v>2</v>
      </c>
      <c r="I1585" s="1">
        <v>1</v>
      </c>
      <c r="J1585" s="1">
        <v>1</v>
      </c>
      <c r="K1585" s="1">
        <v>1</v>
      </c>
      <c r="N1585" s="1">
        <v>637.86</v>
      </c>
      <c r="O1585" s="1">
        <v>1190.68</v>
      </c>
      <c r="P1585" s="1">
        <v>552.83333333333303</v>
      </c>
      <c r="Q1585" s="1" t="s">
        <v>42</v>
      </c>
      <c r="S1585" s="1" t="s">
        <v>42</v>
      </c>
      <c r="T1585" s="1" t="s">
        <v>203</v>
      </c>
      <c r="U1585" s="1">
        <v>42</v>
      </c>
      <c r="V1585" s="5">
        <v>43656</v>
      </c>
      <c r="W1585" s="5">
        <v>41587</v>
      </c>
      <c r="X1585" s="1">
        <v>911000</v>
      </c>
      <c r="Y1585" s="1">
        <v>911000</v>
      </c>
      <c r="Z1585" s="5">
        <v>41629</v>
      </c>
      <c r="AA1585" s="1">
        <v>927625</v>
      </c>
      <c r="AB1585" s="1" t="s">
        <v>204</v>
      </c>
      <c r="AC1585" s="5">
        <v>41860</v>
      </c>
      <c r="AF1585" s="1">
        <v>10001</v>
      </c>
      <c r="AI1585" s="1" t="s">
        <v>315</v>
      </c>
      <c r="AJ1585" s="1">
        <v>1925</v>
      </c>
      <c r="AL1585" s="1">
        <v>61</v>
      </c>
    </row>
    <row r="1586" spans="1:38" x14ac:dyDescent="0.2">
      <c r="A1586" s="2" t="str">
        <f>HYPERLINK("https://www.compass.com/listing/308-west-30th-street-unit-7b-manhattan-ny-10001/4852315046853754705/","308 W 30th St, Unit 7B")</f>
        <v>308 W 30th St, Unit 7B</v>
      </c>
      <c r="B1586" s="2" t="str">
        <f t="shared" si="276"/>
        <v>The Irvin House</v>
      </c>
      <c r="C1586" s="1" t="s">
        <v>62</v>
      </c>
      <c r="D1586" s="1" t="s">
        <v>41</v>
      </c>
      <c r="E1586" s="3">
        <v>1050000</v>
      </c>
      <c r="F1586" s="1">
        <v>1436.3885088919201</v>
      </c>
      <c r="G1586" s="1">
        <v>4</v>
      </c>
      <c r="H1586" s="1">
        <v>2</v>
      </c>
      <c r="I1586" s="1">
        <v>1</v>
      </c>
      <c r="J1586" s="1">
        <v>1</v>
      </c>
      <c r="K1586" s="1">
        <v>1</v>
      </c>
      <c r="M1586" s="1">
        <v>731</v>
      </c>
      <c r="N1586" s="1">
        <v>686.79</v>
      </c>
      <c r="O1586" s="1">
        <v>1282.01</v>
      </c>
      <c r="P1586" s="1">
        <v>595.25</v>
      </c>
      <c r="Q1586" s="1" t="s">
        <v>42</v>
      </c>
      <c r="S1586" s="1" t="s">
        <v>42</v>
      </c>
      <c r="T1586" s="1" t="s">
        <v>203</v>
      </c>
      <c r="U1586" s="1">
        <v>15</v>
      </c>
      <c r="V1586" s="5">
        <v>43606</v>
      </c>
      <c r="W1586" s="5">
        <v>41600</v>
      </c>
      <c r="X1586" s="1">
        <v>1050000</v>
      </c>
      <c r="Y1586" s="1">
        <v>1050000</v>
      </c>
      <c r="Z1586" s="5">
        <v>41615</v>
      </c>
      <c r="AA1586" s="1">
        <v>1069162</v>
      </c>
      <c r="AB1586" s="1" t="s">
        <v>204</v>
      </c>
      <c r="AC1586" s="5">
        <v>41858</v>
      </c>
      <c r="AF1586" s="1">
        <v>10001</v>
      </c>
      <c r="AI1586" s="1" t="s">
        <v>315</v>
      </c>
      <c r="AJ1586" s="1">
        <v>1925</v>
      </c>
      <c r="AL1586" s="1">
        <v>61</v>
      </c>
    </row>
    <row r="1587" spans="1:38" x14ac:dyDescent="0.2">
      <c r="A1587" s="2" t="str">
        <f>HYPERLINK("https://www.compass.com/listing/308-west-30th-street-unit-10a-manhattan-ny-10001/4852315482247659873/","308 W 30th St, Unit 10A")</f>
        <v>308 W 30th St, Unit 10A</v>
      </c>
      <c r="B1587" s="2" t="str">
        <f t="shared" si="276"/>
        <v>The Irvin House</v>
      </c>
      <c r="C1587" s="1" t="s">
        <v>62</v>
      </c>
      <c r="D1587" s="1" t="s">
        <v>41</v>
      </c>
      <c r="E1587" s="3">
        <v>737000</v>
      </c>
      <c r="F1587" s="1">
        <v>1290.71803852889</v>
      </c>
      <c r="G1587" s="1">
        <v>3</v>
      </c>
      <c r="H1587" s="1">
        <v>1</v>
      </c>
      <c r="I1587" s="1">
        <v>1</v>
      </c>
      <c r="J1587" s="1">
        <v>1</v>
      </c>
      <c r="K1587" s="1">
        <v>1</v>
      </c>
      <c r="M1587" s="1">
        <v>571</v>
      </c>
      <c r="N1587" s="1">
        <v>510.42</v>
      </c>
      <c r="O1587" s="1">
        <v>952.77</v>
      </c>
      <c r="P1587" s="1">
        <v>442.33333333333297</v>
      </c>
      <c r="Q1587" s="1" t="s">
        <v>42</v>
      </c>
      <c r="S1587" s="1" t="s">
        <v>42</v>
      </c>
      <c r="T1587" s="1" t="s">
        <v>203</v>
      </c>
      <c r="U1587" s="1">
        <v>39</v>
      </c>
      <c r="V1587" s="5">
        <v>43654</v>
      </c>
      <c r="W1587" s="5">
        <v>41601</v>
      </c>
      <c r="X1587" s="1">
        <v>737000</v>
      </c>
      <c r="Y1587" s="1">
        <v>737000</v>
      </c>
      <c r="Z1587" s="5">
        <v>41640</v>
      </c>
      <c r="AA1587" s="1">
        <v>737000</v>
      </c>
      <c r="AB1587" s="1" t="s">
        <v>204</v>
      </c>
      <c r="AC1587" s="5">
        <v>41880</v>
      </c>
      <c r="AF1587" s="1">
        <v>10001</v>
      </c>
      <c r="AI1587" s="1" t="s">
        <v>315</v>
      </c>
      <c r="AJ1587" s="1">
        <v>1925</v>
      </c>
      <c r="AL1587" s="1">
        <v>61</v>
      </c>
    </row>
    <row r="1588" spans="1:38" x14ac:dyDescent="0.2">
      <c r="A1588" s="2" t="str">
        <f>HYPERLINK("https://www.compass.com/listing/308-west-30th-street-unit-7d-manhattan-ny-10001/4852315483371733617/","308 W 30th St, Unit 7D")</f>
        <v>308 W 30th St, Unit 7D</v>
      </c>
      <c r="B1588" s="2" t="str">
        <f t="shared" si="276"/>
        <v>The Irvin House</v>
      </c>
      <c r="C1588" s="1" t="s">
        <v>62</v>
      </c>
      <c r="D1588" s="1" t="s">
        <v>41</v>
      </c>
      <c r="E1588" s="3">
        <v>785000</v>
      </c>
      <c r="F1588" s="1">
        <v>1234.27672955974</v>
      </c>
      <c r="G1588" s="1">
        <v>3</v>
      </c>
      <c r="H1588" s="1">
        <v>1</v>
      </c>
      <c r="I1588" s="1">
        <v>1</v>
      </c>
      <c r="J1588" s="1">
        <v>1</v>
      </c>
      <c r="K1588" s="1">
        <v>1</v>
      </c>
      <c r="M1588" s="1">
        <v>636</v>
      </c>
      <c r="N1588" s="1">
        <v>557.9</v>
      </c>
      <c r="O1588" s="1">
        <v>1041.4099999999901</v>
      </c>
      <c r="P1588" s="1">
        <v>483.5</v>
      </c>
      <c r="Q1588" s="1" t="s">
        <v>42</v>
      </c>
      <c r="S1588" s="1" t="s">
        <v>42</v>
      </c>
      <c r="T1588" s="1" t="s">
        <v>203</v>
      </c>
      <c r="U1588" s="1">
        <v>22</v>
      </c>
      <c r="V1588" s="5">
        <v>43654</v>
      </c>
      <c r="W1588" s="5">
        <v>41601</v>
      </c>
      <c r="X1588" s="1">
        <v>787000</v>
      </c>
      <c r="Y1588" s="1">
        <v>787000</v>
      </c>
      <c r="Z1588" s="5">
        <v>41623</v>
      </c>
      <c r="AA1588" s="1">
        <v>785000</v>
      </c>
      <c r="AB1588" s="1" t="s">
        <v>204</v>
      </c>
      <c r="AC1588" s="5">
        <v>41888</v>
      </c>
      <c r="AF1588" s="1">
        <v>10001</v>
      </c>
      <c r="AI1588" s="1" t="s">
        <v>315</v>
      </c>
      <c r="AJ1588" s="1">
        <v>1925</v>
      </c>
      <c r="AL1588" s="1">
        <v>61</v>
      </c>
    </row>
    <row r="1589" spans="1:38" x14ac:dyDescent="0.2">
      <c r="A1589" s="2" t="str">
        <f>HYPERLINK("https://www.compass.com/listing/308-west-30th-street-unit-10b-manhattan-ny-10001/4852315512002055153/","308 W 30th St, Unit 10B")</f>
        <v>308 W 30th St, Unit 10B</v>
      </c>
      <c r="B1589" s="2" t="str">
        <f t="shared" si="276"/>
        <v>The Irvin House</v>
      </c>
      <c r="C1589" s="1" t="s">
        <v>62</v>
      </c>
      <c r="D1589" s="1" t="s">
        <v>41</v>
      </c>
      <c r="E1589" s="3">
        <v>900000</v>
      </c>
      <c r="G1589" s="1">
        <v>4</v>
      </c>
      <c r="H1589" s="1">
        <v>2</v>
      </c>
      <c r="I1589" s="1">
        <v>1</v>
      </c>
      <c r="J1589" s="1">
        <v>1</v>
      </c>
      <c r="K1589" s="1">
        <v>1</v>
      </c>
      <c r="N1589" s="1">
        <v>699.33</v>
      </c>
      <c r="O1589" s="1">
        <v>1305.42</v>
      </c>
      <c r="P1589" s="1">
        <v>606.08333333333303</v>
      </c>
      <c r="Q1589" s="1" t="s">
        <v>42</v>
      </c>
      <c r="S1589" s="1" t="s">
        <v>42</v>
      </c>
      <c r="T1589" s="1" t="s">
        <v>203</v>
      </c>
      <c r="V1589" s="5">
        <v>43654</v>
      </c>
      <c r="W1589" s="5">
        <v>41599</v>
      </c>
      <c r="X1589" s="1">
        <v>1090000</v>
      </c>
      <c r="Y1589" s="1">
        <v>1090000</v>
      </c>
      <c r="Z1589" s="5">
        <v>41599</v>
      </c>
      <c r="AA1589" s="1">
        <v>900000</v>
      </c>
      <c r="AB1589" s="1" t="s">
        <v>204</v>
      </c>
      <c r="AC1589" s="5">
        <v>41887</v>
      </c>
      <c r="AF1589" s="1">
        <v>10001</v>
      </c>
      <c r="AI1589" s="1" t="s">
        <v>315</v>
      </c>
      <c r="AJ1589" s="1">
        <v>1925</v>
      </c>
      <c r="AL1589" s="1">
        <v>61</v>
      </c>
    </row>
    <row r="1590" spans="1:38" x14ac:dyDescent="0.2">
      <c r="A1590" s="2" t="str">
        <f>HYPERLINK("https://www.compass.com/listing/308-west-30th-street-unit-phb-manhattan-ny-10001/359991550741720833/","308 W 30th St, Unit PHB")</f>
        <v>308 W 30th St, Unit PHB</v>
      </c>
      <c r="B1590" s="2" t="str">
        <f t="shared" si="276"/>
        <v>The Irvin House</v>
      </c>
      <c r="C1590" s="1" t="s">
        <v>62</v>
      </c>
      <c r="D1590" s="1" t="s">
        <v>41</v>
      </c>
      <c r="E1590" s="3">
        <v>1500000</v>
      </c>
      <c r="F1590" s="1">
        <v>1597.44408945686</v>
      </c>
      <c r="G1590" s="1">
        <v>4</v>
      </c>
      <c r="H1590" s="1">
        <v>2</v>
      </c>
      <c r="I1590" s="1">
        <v>2</v>
      </c>
      <c r="J1590" s="1">
        <v>2</v>
      </c>
      <c r="K1590" s="1">
        <v>2</v>
      </c>
      <c r="M1590" s="1">
        <v>939</v>
      </c>
      <c r="N1590" s="1">
        <v>1178</v>
      </c>
      <c r="O1590" s="1">
        <v>2967</v>
      </c>
      <c r="P1590" s="1">
        <v>1789</v>
      </c>
      <c r="Q1590" s="1" t="s">
        <v>42</v>
      </c>
      <c r="S1590" s="1" t="s">
        <v>42</v>
      </c>
      <c r="T1590" s="1" t="s">
        <v>203</v>
      </c>
      <c r="U1590" s="1">
        <v>91</v>
      </c>
      <c r="V1590" s="5">
        <v>44334</v>
      </c>
      <c r="W1590" s="5">
        <v>43623</v>
      </c>
      <c r="X1590" s="1">
        <v>1595000</v>
      </c>
      <c r="Y1590" s="1">
        <v>1595000</v>
      </c>
      <c r="Z1590" s="5">
        <v>43714</v>
      </c>
      <c r="AA1590" s="1">
        <v>1500000</v>
      </c>
      <c r="AB1590" s="1" t="s">
        <v>204</v>
      </c>
      <c r="AC1590" s="5">
        <v>43795</v>
      </c>
      <c r="AF1590" s="1">
        <v>10001</v>
      </c>
      <c r="AI1590" s="1" t="s">
        <v>99</v>
      </c>
      <c r="AJ1590" s="1">
        <v>1925</v>
      </c>
      <c r="AL1590" s="1">
        <v>61</v>
      </c>
    </row>
    <row r="1591" spans="1:38" x14ac:dyDescent="0.2">
      <c r="A1591" s="2" t="str">
        <f>HYPERLINK("https://www.compass.com/listing/70-vestry-street-unit-12s-manhattan-ny-10013/683090842906615081/","70 Vestry St, Unit 12S")</f>
        <v>70 Vestry St, Unit 12S</v>
      </c>
      <c r="B1591" s="2" t="str">
        <f>HYPERLINK("https://www.compass.com/building/70-vestry-st-manhattan-ny-10013/281921126949489413/","70 Vestry St")</f>
        <v>70 Vestry St</v>
      </c>
      <c r="C1591" s="1" t="s">
        <v>40</v>
      </c>
      <c r="D1591" s="1" t="s">
        <v>41</v>
      </c>
      <c r="E1591" s="3">
        <v>3563875</v>
      </c>
      <c r="F1591" s="1">
        <v>427.01593577761798</v>
      </c>
      <c r="H1591" s="1">
        <v>6</v>
      </c>
      <c r="J1591" s="1">
        <v>10.5</v>
      </c>
      <c r="K1591" s="1">
        <v>10</v>
      </c>
      <c r="L1591" s="1">
        <v>1</v>
      </c>
      <c r="M1591" s="4">
        <v>8346</v>
      </c>
      <c r="N1591" s="1">
        <v>7760</v>
      </c>
      <c r="O1591" s="1">
        <v>16035</v>
      </c>
      <c r="P1591" s="1">
        <v>8275</v>
      </c>
      <c r="Q1591" s="1" t="s">
        <v>42</v>
      </c>
      <c r="S1591" s="1" t="s">
        <v>42</v>
      </c>
      <c r="T1591" s="1" t="s">
        <v>203</v>
      </c>
      <c r="AA1591" s="1">
        <v>3563875</v>
      </c>
      <c r="AB1591" s="1" t="s">
        <v>1194</v>
      </c>
      <c r="AC1591" s="5">
        <v>44181</v>
      </c>
      <c r="AF1591" s="1">
        <v>10013</v>
      </c>
      <c r="AJ1591" s="1">
        <v>2018</v>
      </c>
      <c r="AK1591" s="1" t="s">
        <v>50</v>
      </c>
      <c r="AL1591" s="1">
        <v>46</v>
      </c>
    </row>
    <row r="1592" spans="1:38" x14ac:dyDescent="0.2">
      <c r="A1592" s="2" t="str">
        <f>HYPERLINK("https://www.compass.com/listing/133-mulberry-street-unit-6d-manhattan-ny-10013/841197142475190257/","133 Mulberry St, Unit 6D")</f>
        <v>133 Mulberry St, Unit 6D</v>
      </c>
      <c r="B1592" s="2" t="str">
        <f>HYPERLINK("https://www.compass.com/building/133-mulberry-st-manhattan-ny-10013/281916941336083477/","133 Mulberry St")</f>
        <v>133 Mulberry St</v>
      </c>
      <c r="C1592" s="1" t="s">
        <v>135</v>
      </c>
      <c r="D1592" s="1" t="s">
        <v>41</v>
      </c>
      <c r="E1592" s="3">
        <v>2392888</v>
      </c>
      <c r="F1592" s="1">
        <v>1314.7733516483499</v>
      </c>
      <c r="H1592" s="1">
        <v>3</v>
      </c>
      <c r="J1592" s="1">
        <v>2</v>
      </c>
      <c r="K1592" s="1">
        <v>2</v>
      </c>
      <c r="M1592" s="4">
        <v>1820</v>
      </c>
      <c r="N1592" s="1">
        <v>1213</v>
      </c>
      <c r="O1592" s="1">
        <v>3435</v>
      </c>
      <c r="P1592" s="1">
        <v>2222</v>
      </c>
      <c r="Q1592" s="1" t="s">
        <v>42</v>
      </c>
      <c r="S1592" s="1" t="s">
        <v>42</v>
      </c>
      <c r="T1592" s="1" t="s">
        <v>203</v>
      </c>
      <c r="AA1592" s="1">
        <v>2392887.5</v>
      </c>
      <c r="AB1592" s="1" t="s">
        <v>1195</v>
      </c>
      <c r="AC1592" s="5">
        <v>43430</v>
      </c>
      <c r="AF1592" s="1">
        <v>10013</v>
      </c>
      <c r="AI1592" s="1" t="s">
        <v>166</v>
      </c>
      <c r="AJ1592" s="1">
        <v>1893</v>
      </c>
      <c r="AK1592" s="1" t="s">
        <v>59</v>
      </c>
      <c r="AL1592" s="1">
        <v>18</v>
      </c>
    </row>
    <row r="1593" spans="1:38" x14ac:dyDescent="0.2">
      <c r="A1593" s="2" t="str">
        <f>HYPERLINK("https://www.compass.com/listing/308-west-30th-street-unit-3d-manhattan-ny-10001/4852315309895323921/","308 W 30th St, Unit 3D")</f>
        <v>308 W 30th St, Unit 3D</v>
      </c>
      <c r="B1593" s="2" t="str">
        <f t="shared" ref="B1593:B1604" si="277">HYPERLINK("https://www.compass.com/building/the-irvin-house-manhattan-ny/281883290133070869/","The Irvin House")</f>
        <v>The Irvin House</v>
      </c>
      <c r="C1593" s="1" t="s">
        <v>62</v>
      </c>
      <c r="D1593" s="1" t="s">
        <v>41</v>
      </c>
      <c r="E1593" s="3">
        <v>675000</v>
      </c>
      <c r="F1593" s="1">
        <v>1061.32075471698</v>
      </c>
      <c r="G1593" s="1">
        <v>3</v>
      </c>
      <c r="H1593" s="1">
        <v>1</v>
      </c>
      <c r="I1593" s="1">
        <v>1</v>
      </c>
      <c r="J1593" s="1">
        <v>1</v>
      </c>
      <c r="K1593" s="1">
        <v>1</v>
      </c>
      <c r="M1593" s="1">
        <v>636</v>
      </c>
      <c r="N1593" s="1">
        <v>543.5</v>
      </c>
      <c r="O1593" s="1">
        <v>1014.52</v>
      </c>
      <c r="P1593" s="1">
        <v>471</v>
      </c>
      <c r="Q1593" s="1" t="s">
        <v>42</v>
      </c>
      <c r="S1593" s="1" t="s">
        <v>42</v>
      </c>
      <c r="T1593" s="1" t="s">
        <v>203</v>
      </c>
      <c r="V1593" s="5">
        <v>43656</v>
      </c>
      <c r="W1593" s="5">
        <v>41731</v>
      </c>
      <c r="X1593" s="1">
        <v>741000</v>
      </c>
      <c r="Y1593" s="1">
        <v>741000</v>
      </c>
      <c r="Z1593" s="5">
        <v>41731</v>
      </c>
      <c r="AA1593" s="1">
        <v>675000</v>
      </c>
      <c r="AB1593" s="1" t="s">
        <v>204</v>
      </c>
      <c r="AC1593" s="5">
        <v>41859</v>
      </c>
      <c r="AF1593" s="1">
        <v>10001</v>
      </c>
      <c r="AI1593" s="1" t="s">
        <v>99</v>
      </c>
      <c r="AJ1593" s="1">
        <v>1925</v>
      </c>
      <c r="AL1593" s="1">
        <v>61</v>
      </c>
    </row>
    <row r="1594" spans="1:38" x14ac:dyDescent="0.2">
      <c r="A1594" s="2" t="str">
        <f>HYPERLINK("https://www.compass.com/listing/308-west-30th-street-unit-2c-manhattan-ny-10001/29371595797640561/","308 W 30th St, Unit 2C")</f>
        <v>308 W 30th St, Unit 2C</v>
      </c>
      <c r="B1594" s="2" t="str">
        <f t="shared" si="277"/>
        <v>The Irvin House</v>
      </c>
      <c r="C1594" s="1" t="s">
        <v>62</v>
      </c>
      <c r="D1594" s="1" t="s">
        <v>41</v>
      </c>
      <c r="E1594" s="3">
        <v>675000</v>
      </c>
      <c r="F1594" s="1">
        <v>1146.01018675721</v>
      </c>
      <c r="G1594" s="1">
        <v>3</v>
      </c>
      <c r="H1594" s="1">
        <v>1</v>
      </c>
      <c r="I1594" s="1">
        <v>1</v>
      </c>
      <c r="J1594" s="1">
        <v>1</v>
      </c>
      <c r="K1594" s="1">
        <v>1</v>
      </c>
      <c r="M1594" s="1">
        <v>589</v>
      </c>
      <c r="N1594" s="1">
        <v>499.8</v>
      </c>
      <c r="O1594" s="1">
        <v>932.97</v>
      </c>
      <c r="P1594" s="1">
        <v>433.166666666666</v>
      </c>
      <c r="Q1594" s="1" t="s">
        <v>42</v>
      </c>
      <c r="S1594" s="1" t="s">
        <v>42</v>
      </c>
      <c r="T1594" s="1" t="s">
        <v>203</v>
      </c>
      <c r="U1594" s="1">
        <v>17</v>
      </c>
      <c r="V1594" s="5">
        <v>43654</v>
      </c>
      <c r="W1594" s="5">
        <v>41599</v>
      </c>
      <c r="X1594" s="1">
        <v>675000</v>
      </c>
      <c r="Y1594" s="1">
        <v>675000</v>
      </c>
      <c r="Z1594" s="5">
        <v>41616</v>
      </c>
      <c r="AA1594" s="1">
        <v>675000</v>
      </c>
      <c r="AB1594" s="1" t="s">
        <v>1196</v>
      </c>
      <c r="AC1594" s="5">
        <v>42076</v>
      </c>
      <c r="AF1594" s="1">
        <v>10001</v>
      </c>
      <c r="AI1594" s="1" t="s">
        <v>315</v>
      </c>
      <c r="AJ1594" s="1">
        <v>1925</v>
      </c>
      <c r="AL1594" s="1">
        <v>61</v>
      </c>
    </row>
    <row r="1595" spans="1:38" x14ac:dyDescent="0.2">
      <c r="A1595" s="2" t="str">
        <f>HYPERLINK("https://www.compass.com/listing/308-west-30th-street-unit-4f-manhattan-ny-10001/29371597852849553/","308 W 30th St, Unit 4F")</f>
        <v>308 W 30th St, Unit 4F</v>
      </c>
      <c r="B1595" s="2" t="str">
        <f t="shared" si="277"/>
        <v>The Irvin House</v>
      </c>
      <c r="C1595" s="1" t="s">
        <v>62</v>
      </c>
      <c r="D1595" s="1" t="s">
        <v>41</v>
      </c>
      <c r="E1595" s="3">
        <v>677136</v>
      </c>
      <c r="F1595" s="1">
        <v>1204.86832740213</v>
      </c>
      <c r="G1595" s="1">
        <v>3</v>
      </c>
      <c r="H1595" s="1">
        <v>1</v>
      </c>
      <c r="I1595" s="1">
        <v>1</v>
      </c>
      <c r="J1595" s="1">
        <v>1</v>
      </c>
      <c r="K1595" s="1">
        <v>1</v>
      </c>
      <c r="M1595" s="1">
        <v>562</v>
      </c>
      <c r="N1595" s="1">
        <v>483.45</v>
      </c>
      <c r="O1595" s="1">
        <v>902.45</v>
      </c>
      <c r="P1595" s="1">
        <v>419</v>
      </c>
      <c r="Q1595" s="1" t="s">
        <v>42</v>
      </c>
      <c r="S1595" s="1" t="s">
        <v>42</v>
      </c>
      <c r="T1595" s="1" t="s">
        <v>203</v>
      </c>
      <c r="U1595" s="1">
        <v>27</v>
      </c>
      <c r="V1595" s="5">
        <v>43654</v>
      </c>
      <c r="W1595" s="5">
        <v>41601</v>
      </c>
      <c r="X1595" s="1">
        <v>665000</v>
      </c>
      <c r="Y1595" s="1">
        <v>665000</v>
      </c>
      <c r="Z1595" s="5">
        <v>41628</v>
      </c>
      <c r="AA1595" s="1">
        <v>677136</v>
      </c>
      <c r="AB1595" s="1" t="s">
        <v>204</v>
      </c>
      <c r="AC1595" s="5">
        <v>41888</v>
      </c>
      <c r="AF1595" s="1">
        <v>10001</v>
      </c>
      <c r="AI1595" s="1" t="s">
        <v>315</v>
      </c>
      <c r="AJ1595" s="1">
        <v>1925</v>
      </c>
      <c r="AL1595" s="1">
        <v>61</v>
      </c>
    </row>
    <row r="1596" spans="1:38" x14ac:dyDescent="0.2">
      <c r="A1596" s="2" t="str">
        <f>HYPERLINK("https://www.compass.com/listing/308-west-30th-street-unit-7f-manhattan-ny-10001/4852314863780760977/","308 W 30th St, Unit 7F")</f>
        <v>308 W 30th St, Unit 7F</v>
      </c>
      <c r="B1596" s="2" t="str">
        <f t="shared" si="277"/>
        <v>The Irvin House</v>
      </c>
      <c r="C1596" s="1" t="s">
        <v>62</v>
      </c>
      <c r="D1596" s="1" t="s">
        <v>41</v>
      </c>
      <c r="E1596" s="3">
        <v>701134</v>
      </c>
      <c r="F1596" s="1">
        <v>1247.5693950177899</v>
      </c>
      <c r="G1596" s="1">
        <v>3</v>
      </c>
      <c r="H1596" s="1">
        <v>1</v>
      </c>
      <c r="I1596" s="1">
        <v>1</v>
      </c>
      <c r="J1596" s="1">
        <v>1</v>
      </c>
      <c r="K1596" s="1">
        <v>1</v>
      </c>
      <c r="M1596" s="1">
        <v>562</v>
      </c>
      <c r="N1596" s="1">
        <v>492.85</v>
      </c>
      <c r="O1596" s="1">
        <v>919.99</v>
      </c>
      <c r="P1596" s="1">
        <v>427.166666666666</v>
      </c>
      <c r="Q1596" s="1" t="s">
        <v>42</v>
      </c>
      <c r="S1596" s="1" t="s">
        <v>42</v>
      </c>
      <c r="T1596" s="1" t="s">
        <v>203</v>
      </c>
      <c r="U1596" s="1">
        <v>6</v>
      </c>
      <c r="V1596" s="5">
        <v>43656</v>
      </c>
      <c r="W1596" s="5">
        <v>41601</v>
      </c>
      <c r="X1596" s="1">
        <v>695000</v>
      </c>
      <c r="Y1596" s="1">
        <v>695000</v>
      </c>
      <c r="Z1596" s="5">
        <v>41607</v>
      </c>
      <c r="AA1596" s="1">
        <v>701134</v>
      </c>
      <c r="AB1596" s="1" t="s">
        <v>204</v>
      </c>
      <c r="AC1596" s="5">
        <v>41851</v>
      </c>
      <c r="AF1596" s="1">
        <v>10001</v>
      </c>
      <c r="AI1596" s="1" t="s">
        <v>315</v>
      </c>
      <c r="AJ1596" s="1">
        <v>1925</v>
      </c>
      <c r="AL1596" s="1">
        <v>61</v>
      </c>
    </row>
    <row r="1597" spans="1:38" x14ac:dyDescent="0.2">
      <c r="A1597" s="2" t="str">
        <f>HYPERLINK("https://www.compass.com/listing/308-west-30th-street-unit-6a-manhattan-ny-10001/4852315001261667793/","308 W 30th St, Unit 6A")</f>
        <v>308 W 30th St, Unit 6A</v>
      </c>
      <c r="B1597" s="2" t="str">
        <f t="shared" si="277"/>
        <v>The Irvin House</v>
      </c>
      <c r="C1597" s="1" t="s">
        <v>62</v>
      </c>
      <c r="D1597" s="1" t="s">
        <v>41</v>
      </c>
      <c r="E1597" s="3">
        <v>708702</v>
      </c>
      <c r="G1597" s="1">
        <v>3</v>
      </c>
      <c r="H1597" s="1">
        <v>1</v>
      </c>
      <c r="I1597" s="1">
        <v>1</v>
      </c>
      <c r="J1597" s="1">
        <v>1</v>
      </c>
      <c r="K1597" s="1">
        <v>1</v>
      </c>
      <c r="N1597" s="1">
        <v>497.57</v>
      </c>
      <c r="O1597" s="1">
        <v>928.8</v>
      </c>
      <c r="P1597" s="1">
        <v>431.25</v>
      </c>
      <c r="Q1597" s="1" t="s">
        <v>42</v>
      </c>
      <c r="S1597" s="1" t="s">
        <v>42</v>
      </c>
      <c r="T1597" s="1" t="s">
        <v>203</v>
      </c>
      <c r="U1597" s="1">
        <v>36</v>
      </c>
      <c r="V1597" s="5">
        <v>43656</v>
      </c>
      <c r="W1597" s="5">
        <v>41587</v>
      </c>
      <c r="X1597" s="1">
        <v>696000</v>
      </c>
      <c r="Y1597" s="1">
        <v>696000</v>
      </c>
      <c r="Z1597" s="5">
        <v>41623</v>
      </c>
      <c r="AA1597" s="1">
        <v>708702</v>
      </c>
      <c r="AB1597" s="1" t="s">
        <v>204</v>
      </c>
      <c r="AC1597" s="5">
        <v>41850</v>
      </c>
      <c r="AF1597" s="1">
        <v>10001</v>
      </c>
      <c r="AI1597" s="1" t="s">
        <v>315</v>
      </c>
      <c r="AJ1597" s="1">
        <v>1925</v>
      </c>
      <c r="AL1597" s="1">
        <v>61</v>
      </c>
    </row>
    <row r="1598" spans="1:38" x14ac:dyDescent="0.2">
      <c r="A1598" s="2" t="str">
        <f>HYPERLINK("https://www.compass.com/listing/308-west-30th-street-unit-10f-manhattan-ny-10001/4852315022258354449/","308 W 30th St, Unit 10F")</f>
        <v>308 W 30th St, Unit 10F</v>
      </c>
      <c r="B1598" s="2" t="str">
        <f t="shared" si="277"/>
        <v>The Irvin House</v>
      </c>
      <c r="C1598" s="1" t="s">
        <v>62</v>
      </c>
      <c r="D1598" s="1" t="s">
        <v>41</v>
      </c>
      <c r="E1598" s="3">
        <v>681159</v>
      </c>
      <c r="F1598" s="1">
        <v>1212.0266903914501</v>
      </c>
      <c r="G1598" s="1">
        <v>3</v>
      </c>
      <c r="H1598" s="1">
        <v>1</v>
      </c>
      <c r="I1598" s="1">
        <v>1</v>
      </c>
      <c r="J1598" s="1">
        <v>1</v>
      </c>
      <c r="K1598" s="1">
        <v>1</v>
      </c>
      <c r="M1598" s="1">
        <v>562</v>
      </c>
      <c r="N1598" s="1">
        <v>502.25</v>
      </c>
      <c r="O1598" s="1">
        <v>937.54</v>
      </c>
      <c r="P1598" s="1">
        <v>435.25</v>
      </c>
      <c r="Q1598" s="1" t="s">
        <v>42</v>
      </c>
      <c r="S1598" s="1" t="s">
        <v>42</v>
      </c>
      <c r="T1598" s="1" t="s">
        <v>203</v>
      </c>
      <c r="U1598" s="1">
        <v>13</v>
      </c>
      <c r="V1598" s="5">
        <v>43656</v>
      </c>
      <c r="W1598" s="5">
        <v>41586</v>
      </c>
      <c r="X1598" s="1">
        <v>725000</v>
      </c>
      <c r="Y1598" s="1">
        <v>725000</v>
      </c>
      <c r="Z1598" s="5">
        <v>41599</v>
      </c>
      <c r="AA1598" s="1">
        <v>681159</v>
      </c>
      <c r="AB1598" s="1" t="s">
        <v>204</v>
      </c>
      <c r="AC1598" s="5">
        <v>41842</v>
      </c>
      <c r="AF1598" s="1">
        <v>10001</v>
      </c>
      <c r="AI1598" s="1" t="s">
        <v>315</v>
      </c>
      <c r="AJ1598" s="1">
        <v>1925</v>
      </c>
      <c r="AL1598" s="1">
        <v>61</v>
      </c>
    </row>
    <row r="1599" spans="1:38" x14ac:dyDescent="0.2">
      <c r="A1599" s="2" t="str">
        <f>HYPERLINK("https://www.compass.com/listing/308-west-30th-street-unit-7a-manhattan-ny-10001/4852315047751319601/","308 W 30th St, Unit 7A")</f>
        <v>308 W 30th St, Unit 7A</v>
      </c>
      <c r="B1599" s="2" t="str">
        <f t="shared" si="277"/>
        <v>The Irvin House</v>
      </c>
      <c r="C1599" s="1" t="s">
        <v>62</v>
      </c>
      <c r="D1599" s="1" t="s">
        <v>41</v>
      </c>
      <c r="E1599" s="3">
        <v>675000</v>
      </c>
      <c r="F1599" s="1">
        <v>1182.13660245183</v>
      </c>
      <c r="G1599" s="1">
        <v>3</v>
      </c>
      <c r="H1599" s="1">
        <v>1</v>
      </c>
      <c r="I1599" s="1">
        <v>1</v>
      </c>
      <c r="J1599" s="1">
        <v>1</v>
      </c>
      <c r="K1599" s="1">
        <v>1</v>
      </c>
      <c r="M1599" s="1">
        <v>571</v>
      </c>
      <c r="N1599" s="1">
        <v>500.7</v>
      </c>
      <c r="O1599" s="1">
        <v>934.65</v>
      </c>
      <c r="P1599" s="1">
        <v>433.916666666666</v>
      </c>
      <c r="Q1599" s="1" t="s">
        <v>42</v>
      </c>
      <c r="S1599" s="1" t="s">
        <v>42</v>
      </c>
      <c r="T1599" s="1" t="s">
        <v>203</v>
      </c>
      <c r="U1599" s="1">
        <v>6</v>
      </c>
      <c r="V1599" s="5">
        <v>43656</v>
      </c>
      <c r="W1599" s="5">
        <v>41601</v>
      </c>
      <c r="X1599" s="1">
        <v>706000</v>
      </c>
      <c r="Y1599" s="1">
        <v>706000</v>
      </c>
      <c r="Z1599" s="5">
        <v>41607</v>
      </c>
      <c r="AA1599" s="1">
        <v>675000</v>
      </c>
      <c r="AB1599" s="1" t="s">
        <v>204</v>
      </c>
      <c r="AC1599" s="5">
        <v>41853</v>
      </c>
      <c r="AF1599" s="1">
        <v>10001</v>
      </c>
      <c r="AI1599" s="1" t="s">
        <v>315</v>
      </c>
      <c r="AJ1599" s="1">
        <v>1925</v>
      </c>
      <c r="AL1599" s="1">
        <v>61</v>
      </c>
    </row>
    <row r="1600" spans="1:38" x14ac:dyDescent="0.2">
      <c r="A1600" s="2" t="str">
        <f>HYPERLINK("https://www.compass.com/listing/308-west-30th-street-unit-9f-manhattan-ny-10001/50844115226651185/","308 W 30th St, Unit 9F")</f>
        <v>308 W 30th St, Unit 9F</v>
      </c>
      <c r="B1600" s="2" t="str">
        <f t="shared" si="277"/>
        <v>The Irvin House</v>
      </c>
      <c r="C1600" s="1" t="s">
        <v>62</v>
      </c>
      <c r="D1600" s="1" t="s">
        <v>41</v>
      </c>
      <c r="E1600" s="3">
        <v>715000</v>
      </c>
      <c r="F1600" s="1">
        <v>1272.24199288256</v>
      </c>
      <c r="G1600" s="1">
        <v>3</v>
      </c>
      <c r="H1600" s="1">
        <v>1</v>
      </c>
      <c r="I1600" s="1">
        <v>1</v>
      </c>
      <c r="J1600" s="1">
        <v>1</v>
      </c>
      <c r="K1600" s="1">
        <v>1</v>
      </c>
      <c r="M1600" s="1">
        <v>562</v>
      </c>
      <c r="N1600" s="1">
        <v>499.11</v>
      </c>
      <c r="O1600" s="1">
        <v>931.68</v>
      </c>
      <c r="P1600" s="1">
        <v>432.58333333333297</v>
      </c>
      <c r="Q1600" s="1" t="s">
        <v>42</v>
      </c>
      <c r="S1600" s="1" t="s">
        <v>42</v>
      </c>
      <c r="T1600" s="1" t="s">
        <v>203</v>
      </c>
      <c r="U1600" s="1">
        <v>30</v>
      </c>
      <c r="V1600" s="5">
        <v>43638</v>
      </c>
      <c r="W1600" s="5">
        <v>41586</v>
      </c>
      <c r="X1600" s="1">
        <v>715000</v>
      </c>
      <c r="Y1600" s="1">
        <v>715000</v>
      </c>
      <c r="Z1600" s="5">
        <v>41616</v>
      </c>
      <c r="AA1600" s="1">
        <v>715000</v>
      </c>
      <c r="AB1600" s="1" t="s">
        <v>204</v>
      </c>
      <c r="AC1600" s="5">
        <v>41845</v>
      </c>
      <c r="AF1600" s="1">
        <v>10001</v>
      </c>
      <c r="AI1600" s="1" t="s">
        <v>315</v>
      </c>
      <c r="AJ1600" s="1">
        <v>1925</v>
      </c>
      <c r="AL1600" s="1">
        <v>61</v>
      </c>
    </row>
    <row r="1601" spans="1:38" x14ac:dyDescent="0.2">
      <c r="A1601" s="2" t="str">
        <f>HYPERLINK("https://www.compass.com/listing/308-west-30th-street-unit-1a-manhattan-ny-10001/82012017073939841/","308 W 30th St, Unit 1A")</f>
        <v>308 W 30th St, Unit 1A</v>
      </c>
      <c r="B1601" s="2" t="str">
        <f t="shared" si="277"/>
        <v>The Irvin House</v>
      </c>
      <c r="C1601" s="1" t="s">
        <v>62</v>
      </c>
      <c r="D1601" s="1" t="s">
        <v>41</v>
      </c>
      <c r="E1601" s="3">
        <v>565000</v>
      </c>
      <c r="F1601" s="1">
        <v>1320.0934579439199</v>
      </c>
      <c r="G1601" s="1">
        <v>2</v>
      </c>
      <c r="H1601" s="1">
        <v>1</v>
      </c>
      <c r="I1601" s="1">
        <v>1</v>
      </c>
      <c r="J1601" s="1">
        <v>1</v>
      </c>
      <c r="K1601" s="1">
        <v>1</v>
      </c>
      <c r="M1601" s="1">
        <v>428</v>
      </c>
      <c r="N1601" s="1">
        <v>324.76</v>
      </c>
      <c r="O1601" s="1">
        <v>826.48</v>
      </c>
      <c r="P1601" s="1">
        <v>501.75</v>
      </c>
      <c r="Q1601" s="1" t="s">
        <v>42</v>
      </c>
      <c r="S1601" s="1" t="s">
        <v>42</v>
      </c>
      <c r="T1601" s="1" t="s">
        <v>203</v>
      </c>
      <c r="U1601" s="1">
        <v>34</v>
      </c>
      <c r="V1601" s="5">
        <v>43644</v>
      </c>
      <c r="W1601" s="5">
        <v>43365</v>
      </c>
      <c r="X1601" s="1">
        <v>550000</v>
      </c>
      <c r="Y1601" s="1">
        <v>550000</v>
      </c>
      <c r="Z1601" s="5">
        <v>43399</v>
      </c>
      <c r="AA1601" s="1">
        <v>565000</v>
      </c>
      <c r="AB1601" s="1" t="s">
        <v>1197</v>
      </c>
      <c r="AC1601" s="5">
        <v>43465</v>
      </c>
      <c r="AF1601" s="1">
        <v>10001</v>
      </c>
      <c r="AI1601" s="1" t="s">
        <v>315</v>
      </c>
      <c r="AJ1601" s="1">
        <v>1925</v>
      </c>
      <c r="AL1601" s="1">
        <v>61</v>
      </c>
    </row>
    <row r="1602" spans="1:38" x14ac:dyDescent="0.2">
      <c r="A1602" s="2" t="str">
        <f>HYPERLINK("https://www.compass.com/listing/308-west-30th-street-unit-2f-manhattan-ny-10001/29371596561045441/","308 W 30th St, Unit 2F")</f>
        <v>308 W 30th St, Unit 2F</v>
      </c>
      <c r="B1602" s="2" t="str">
        <f t="shared" si="277"/>
        <v>The Irvin House</v>
      </c>
      <c r="C1602" s="1" t="s">
        <v>62</v>
      </c>
      <c r="D1602" s="1" t="s">
        <v>41</v>
      </c>
      <c r="E1602" s="3">
        <v>656987</v>
      </c>
      <c r="F1602" s="1">
        <v>1169.01601423487</v>
      </c>
      <c r="G1602" s="1">
        <v>3</v>
      </c>
      <c r="H1602" s="1">
        <v>1</v>
      </c>
      <c r="I1602" s="1">
        <v>1</v>
      </c>
      <c r="J1602" s="1">
        <v>1</v>
      </c>
      <c r="K1602" s="1">
        <v>1</v>
      </c>
      <c r="M1602" s="1">
        <v>562</v>
      </c>
      <c r="N1602" s="1">
        <v>477.2</v>
      </c>
      <c r="O1602" s="1">
        <v>890.77</v>
      </c>
      <c r="P1602" s="1">
        <v>413.58333333333297</v>
      </c>
      <c r="Q1602" s="1" t="s">
        <v>42</v>
      </c>
      <c r="S1602" s="1" t="s">
        <v>42</v>
      </c>
      <c r="T1602" s="1" t="s">
        <v>203</v>
      </c>
      <c r="U1602" s="1">
        <v>49</v>
      </c>
      <c r="V1602" s="5">
        <v>43654</v>
      </c>
      <c r="W1602" s="5">
        <v>41574</v>
      </c>
      <c r="X1602" s="1">
        <v>645000</v>
      </c>
      <c r="Y1602" s="1">
        <v>645000</v>
      </c>
      <c r="Z1602" s="5">
        <v>41623</v>
      </c>
      <c r="AA1602" s="1">
        <v>656987</v>
      </c>
      <c r="AB1602" s="1" t="s">
        <v>1198</v>
      </c>
      <c r="AC1602" s="5">
        <v>42077</v>
      </c>
      <c r="AF1602" s="1">
        <v>10001</v>
      </c>
      <c r="AI1602" s="1" t="s">
        <v>315</v>
      </c>
      <c r="AJ1602" s="1">
        <v>1925</v>
      </c>
      <c r="AL1602" s="1">
        <v>61</v>
      </c>
    </row>
    <row r="1603" spans="1:38" x14ac:dyDescent="0.2">
      <c r="A1603" s="2" t="str">
        <f>HYPERLINK("https://www.compass.com/listing/308-west-30th-street-unit-6f-manhattan-ny-10001/4852314866498670545/","308 W 30th St, Unit 6F")</f>
        <v>308 W 30th St, Unit 6F</v>
      </c>
      <c r="B1603" s="2" t="str">
        <f t="shared" si="277"/>
        <v>The Irvin House</v>
      </c>
      <c r="C1603" s="1" t="s">
        <v>62</v>
      </c>
      <c r="D1603" s="1" t="s">
        <v>41</v>
      </c>
      <c r="E1603" s="3">
        <v>660976</v>
      </c>
      <c r="F1603" s="1">
        <v>1176.11387900355</v>
      </c>
      <c r="G1603" s="1">
        <v>3</v>
      </c>
      <c r="H1603" s="1">
        <v>1</v>
      </c>
      <c r="I1603" s="1">
        <v>1</v>
      </c>
      <c r="J1603" s="1">
        <v>1</v>
      </c>
      <c r="K1603" s="1">
        <v>1</v>
      </c>
      <c r="M1603" s="1">
        <v>562</v>
      </c>
      <c r="N1603" s="1">
        <v>489.73</v>
      </c>
      <c r="O1603" s="1">
        <v>914.15</v>
      </c>
      <c r="P1603" s="1">
        <v>424.416666666666</v>
      </c>
      <c r="Q1603" s="1" t="s">
        <v>42</v>
      </c>
      <c r="S1603" s="1" t="s">
        <v>42</v>
      </c>
      <c r="T1603" s="1" t="s">
        <v>203</v>
      </c>
      <c r="V1603" s="5">
        <v>43656</v>
      </c>
      <c r="W1603" s="5">
        <v>41601</v>
      </c>
      <c r="X1603" s="1">
        <v>685000</v>
      </c>
      <c r="Y1603" s="1">
        <v>685000</v>
      </c>
      <c r="Z1603" s="5">
        <v>41601</v>
      </c>
      <c r="AA1603" s="1">
        <v>660976</v>
      </c>
      <c r="AB1603" s="1" t="s">
        <v>204</v>
      </c>
      <c r="AC1603" s="5">
        <v>41860</v>
      </c>
      <c r="AF1603" s="1">
        <v>10001</v>
      </c>
      <c r="AI1603" s="1" t="s">
        <v>315</v>
      </c>
      <c r="AJ1603" s="1">
        <v>1925</v>
      </c>
      <c r="AL1603" s="1">
        <v>61</v>
      </c>
    </row>
    <row r="1604" spans="1:38" x14ac:dyDescent="0.2">
      <c r="A1604" s="2" t="str">
        <f>HYPERLINK("https://www.compass.com/listing/308-west-30th-street-unit-5f-manhattan-ny-10001/4852315303176047297/","308 W 30th St, Unit 5F")</f>
        <v>308 W 30th St, Unit 5F</v>
      </c>
      <c r="B1604" s="2" t="str">
        <f t="shared" si="277"/>
        <v>The Irvin House</v>
      </c>
      <c r="C1604" s="1" t="s">
        <v>62</v>
      </c>
      <c r="D1604" s="1" t="s">
        <v>41</v>
      </c>
      <c r="E1604" s="3">
        <v>478610</v>
      </c>
      <c r="F1604" s="1">
        <v>851.61921708185002</v>
      </c>
      <c r="G1604" s="1">
        <v>4</v>
      </c>
      <c r="H1604" s="1">
        <v>2</v>
      </c>
      <c r="I1604" s="1">
        <v>1</v>
      </c>
      <c r="J1604" s="1">
        <v>1</v>
      </c>
      <c r="K1604" s="1">
        <v>1</v>
      </c>
      <c r="M1604" s="1">
        <v>562</v>
      </c>
      <c r="N1604" s="1">
        <v>486.58</v>
      </c>
      <c r="O1604" s="1">
        <v>908.28</v>
      </c>
      <c r="P1604" s="1">
        <v>421.666666666666</v>
      </c>
      <c r="Q1604" s="1" t="s">
        <v>42</v>
      </c>
      <c r="S1604" s="1" t="s">
        <v>42</v>
      </c>
      <c r="T1604" s="1" t="s">
        <v>203</v>
      </c>
      <c r="V1604" s="5">
        <v>43656</v>
      </c>
      <c r="W1604" s="5">
        <v>41731</v>
      </c>
      <c r="X1604" s="1">
        <v>553500</v>
      </c>
      <c r="Y1604" s="1">
        <v>553500</v>
      </c>
      <c r="Z1604" s="5">
        <v>41731</v>
      </c>
      <c r="AA1604" s="1">
        <v>478610</v>
      </c>
      <c r="AB1604" s="1" t="s">
        <v>204</v>
      </c>
      <c r="AC1604" s="5">
        <v>41843</v>
      </c>
      <c r="AF1604" s="1">
        <v>10001</v>
      </c>
      <c r="AI1604" s="1" t="s">
        <v>315</v>
      </c>
      <c r="AJ1604" s="1">
        <v>1925</v>
      </c>
      <c r="AL1604" s="1">
        <v>61</v>
      </c>
    </row>
    <row r="1605" spans="1:38" x14ac:dyDescent="0.2">
      <c r="A1605" s="2" t="str">
        <f>HYPERLINK("https://www.compass.com/listing/91-leonard-street-unit-13a-manhattan-ny-10013/756229603668250905/","91 Leonard St, Unit 13A")</f>
        <v>91 Leonard St, Unit 13A</v>
      </c>
      <c r="B1605" s="2" t="str">
        <f>HYPERLINK("https://www.compass.com/building/91-leonard-manhattan-ny/282058661633754165/","91 Leonard")</f>
        <v>91 Leonard</v>
      </c>
      <c r="C1605" s="1" t="s">
        <v>40</v>
      </c>
      <c r="D1605" s="1" t="s">
        <v>41</v>
      </c>
      <c r="E1605" s="3">
        <v>2920000</v>
      </c>
      <c r="F1605" s="1">
        <v>182500</v>
      </c>
      <c r="H1605" s="1">
        <v>2</v>
      </c>
      <c r="J1605" s="1">
        <v>4</v>
      </c>
      <c r="M1605" s="1">
        <v>16</v>
      </c>
      <c r="N1605" s="1">
        <v>1806</v>
      </c>
      <c r="O1605" s="1">
        <v>4564</v>
      </c>
      <c r="P1605" s="1">
        <v>2758</v>
      </c>
      <c r="Q1605" s="1" t="s">
        <v>42</v>
      </c>
      <c r="S1605" s="1" t="s">
        <v>42</v>
      </c>
      <c r="T1605" s="1" t="s">
        <v>203</v>
      </c>
      <c r="AA1605" s="1">
        <v>2920000</v>
      </c>
      <c r="AB1605" s="1" t="s">
        <v>1199</v>
      </c>
      <c r="AC1605" s="5">
        <v>43782</v>
      </c>
      <c r="AF1605" s="1">
        <v>10013</v>
      </c>
      <c r="AI1605" s="1" t="s">
        <v>52</v>
      </c>
      <c r="AJ1605" s="1">
        <v>2016</v>
      </c>
      <c r="AK1605" s="1" t="s">
        <v>46</v>
      </c>
      <c r="AL1605" s="1">
        <v>111</v>
      </c>
    </row>
    <row r="1606" spans="1:38" x14ac:dyDescent="0.2">
      <c r="A1606" s="2" t="str">
        <f>HYPERLINK("https://www.compass.com/listing/93-reade-street-unit-ph-manhattan-ny-10013/391085876729137361/","93 Reade St, Unit PH")</f>
        <v>93 Reade St, Unit PH</v>
      </c>
      <c r="B1606" s="2" t="str">
        <f>HYPERLINK("https://www.compass.com/building/obsidian-house-manhattan-ny/281921586796203349/","Obsidian House")</f>
        <v>Obsidian House</v>
      </c>
      <c r="C1606" s="1" t="s">
        <v>40</v>
      </c>
      <c r="D1606" s="1" t="s">
        <v>41</v>
      </c>
      <c r="E1606" s="3">
        <v>7924381</v>
      </c>
      <c r="F1606" s="1">
        <v>2507.7155854430298</v>
      </c>
      <c r="H1606" s="1">
        <v>5</v>
      </c>
      <c r="J1606" s="1">
        <v>5.5</v>
      </c>
      <c r="K1606" s="1">
        <v>5</v>
      </c>
      <c r="L1606" s="1">
        <v>1</v>
      </c>
      <c r="M1606" s="4">
        <v>3160</v>
      </c>
      <c r="N1606" s="1">
        <v>3698</v>
      </c>
      <c r="O1606" s="1">
        <v>7079</v>
      </c>
      <c r="P1606" s="1">
        <v>3381</v>
      </c>
      <c r="Q1606" s="1" t="s">
        <v>42</v>
      </c>
      <c r="S1606" s="1" t="s">
        <v>42</v>
      </c>
      <c r="T1606" s="1" t="s">
        <v>203</v>
      </c>
      <c r="AA1606" s="1">
        <v>7924381.25</v>
      </c>
      <c r="AB1606" s="1" t="s">
        <v>1200</v>
      </c>
      <c r="AC1606" s="5">
        <v>42563</v>
      </c>
      <c r="AF1606" s="1">
        <v>10013</v>
      </c>
      <c r="AI1606" s="1" t="s">
        <v>58</v>
      </c>
      <c r="AJ1606" s="1">
        <v>1857</v>
      </c>
      <c r="AL1606" s="1">
        <v>4</v>
      </c>
    </row>
    <row r="1607" spans="1:38" x14ac:dyDescent="0.2">
      <c r="A1607" s="2" t="str">
        <f>HYPERLINK("https://www.compass.com/listing/91-leonard-street-unit-14f-manhattan-ny-10013/384629884172464497/","91 Leonard St, Unit 14F")</f>
        <v>91 Leonard St, Unit 14F</v>
      </c>
      <c r="B1607" s="2" t="str">
        <f t="shared" ref="B1607:B1619" si="278">HYPERLINK("https://www.compass.com/building/91-leonard-manhattan-ny/282058661633754165/","91 Leonard")</f>
        <v>91 Leonard</v>
      </c>
      <c r="C1607" s="1" t="s">
        <v>40</v>
      </c>
      <c r="D1607" s="1" t="s">
        <v>41</v>
      </c>
      <c r="E1607" s="3">
        <v>2321000</v>
      </c>
      <c r="F1607" s="1">
        <v>1597.38472126634</v>
      </c>
      <c r="G1607" s="1">
        <v>4</v>
      </c>
      <c r="H1607" s="1">
        <v>2</v>
      </c>
      <c r="J1607" s="1">
        <v>2</v>
      </c>
      <c r="K1607" s="1">
        <v>2</v>
      </c>
      <c r="M1607" s="4">
        <v>1453</v>
      </c>
      <c r="S1607" s="1" t="s">
        <v>42</v>
      </c>
      <c r="T1607" s="1" t="s">
        <v>203</v>
      </c>
      <c r="U1607" s="1">
        <v>26</v>
      </c>
      <c r="V1607" s="5">
        <v>44247</v>
      </c>
      <c r="W1607" s="5">
        <v>43755</v>
      </c>
      <c r="X1607" s="1">
        <v>2475000</v>
      </c>
      <c r="Y1607" s="1">
        <v>2475000</v>
      </c>
      <c r="AA1607" s="1">
        <v>2321000</v>
      </c>
      <c r="AB1607" s="1" t="s">
        <v>204</v>
      </c>
      <c r="AC1607" s="5">
        <v>43782</v>
      </c>
      <c r="AF1607" s="1">
        <v>10013</v>
      </c>
      <c r="AI1607" s="1" t="s">
        <v>45</v>
      </c>
      <c r="AJ1607" s="1">
        <v>2016</v>
      </c>
      <c r="AK1607" s="1" t="s">
        <v>46</v>
      </c>
      <c r="AL1607" s="1">
        <v>111</v>
      </c>
    </row>
    <row r="1608" spans="1:38" x14ac:dyDescent="0.2">
      <c r="A1608" s="2" t="str">
        <f>HYPERLINK("https://www.compass.com/listing/91-leonard-street-unit-9b-manhattan-ny-10013/384629885952887729/","91 Leonard St, Unit 9B")</f>
        <v>91 Leonard St, Unit 9B</v>
      </c>
      <c r="B1608" s="2" t="str">
        <f t="shared" si="278"/>
        <v>91 Leonard</v>
      </c>
      <c r="C1608" s="1" t="s">
        <v>40</v>
      </c>
      <c r="D1608" s="1" t="s">
        <v>41</v>
      </c>
      <c r="E1608" s="3">
        <v>2416510</v>
      </c>
      <c r="F1608" s="1">
        <v>1956.6882591093099</v>
      </c>
      <c r="G1608" s="1">
        <v>3</v>
      </c>
      <c r="H1608" s="1">
        <v>2</v>
      </c>
      <c r="J1608" s="1">
        <v>2</v>
      </c>
      <c r="K1608" s="1">
        <v>2</v>
      </c>
      <c r="M1608" s="4">
        <v>1235</v>
      </c>
      <c r="S1608" s="1" t="s">
        <v>42</v>
      </c>
      <c r="T1608" s="1" t="s">
        <v>203</v>
      </c>
      <c r="U1608" s="1">
        <v>26</v>
      </c>
      <c r="V1608" s="5">
        <v>44247</v>
      </c>
      <c r="W1608" s="5">
        <v>43755</v>
      </c>
      <c r="X1608" s="1">
        <v>2370000</v>
      </c>
      <c r="Y1608" s="1">
        <v>2370000</v>
      </c>
      <c r="AA1608" s="1">
        <v>2416510</v>
      </c>
      <c r="AB1608" s="1" t="s">
        <v>204</v>
      </c>
      <c r="AC1608" s="5">
        <v>43782</v>
      </c>
      <c r="AF1608" s="1">
        <v>10013</v>
      </c>
      <c r="AI1608" s="1" t="s">
        <v>45</v>
      </c>
      <c r="AJ1608" s="1">
        <v>2016</v>
      </c>
      <c r="AK1608" s="1" t="s">
        <v>46</v>
      </c>
      <c r="AL1608" s="1">
        <v>111</v>
      </c>
    </row>
    <row r="1609" spans="1:38" x14ac:dyDescent="0.2">
      <c r="A1609" s="2" t="str">
        <f>HYPERLINK("https://www.compass.com/listing/91-leonard-street-unit-5c-manhattan-ny-10013/384673677774949217/","91 Leonard St, Unit 5C")</f>
        <v>91 Leonard St, Unit 5C</v>
      </c>
      <c r="B1609" s="2" t="str">
        <f t="shared" si="278"/>
        <v>91 Leonard</v>
      </c>
      <c r="C1609" s="1" t="s">
        <v>40</v>
      </c>
      <c r="D1609" s="1" t="s">
        <v>41</v>
      </c>
      <c r="E1609" s="3">
        <v>2660890</v>
      </c>
      <c r="F1609" s="1">
        <v>1758.6847323198899</v>
      </c>
      <c r="G1609" s="1">
        <v>5</v>
      </c>
      <c r="H1609" s="1">
        <v>2</v>
      </c>
      <c r="I1609" s="1">
        <v>3</v>
      </c>
      <c r="J1609" s="1">
        <v>2.5</v>
      </c>
      <c r="K1609" s="1">
        <v>2</v>
      </c>
      <c r="L1609" s="1">
        <v>1</v>
      </c>
      <c r="M1609" s="4">
        <v>1513</v>
      </c>
      <c r="N1609" s="1">
        <v>1832</v>
      </c>
      <c r="O1609" s="1">
        <v>4630</v>
      </c>
      <c r="P1609" s="1">
        <v>2798</v>
      </c>
      <c r="S1609" s="1" t="s">
        <v>42</v>
      </c>
      <c r="T1609" s="1" t="s">
        <v>203</v>
      </c>
      <c r="U1609" s="1">
        <v>15</v>
      </c>
      <c r="V1609" s="5">
        <v>44247</v>
      </c>
      <c r="W1609" s="5">
        <v>43767</v>
      </c>
      <c r="X1609" s="1">
        <v>2610000</v>
      </c>
      <c r="Y1609" s="1">
        <v>2610000</v>
      </c>
      <c r="AA1609" s="1">
        <v>2660890</v>
      </c>
      <c r="AB1609" s="1" t="s">
        <v>204</v>
      </c>
      <c r="AC1609" s="5">
        <v>43782</v>
      </c>
      <c r="AF1609" s="1">
        <v>10013</v>
      </c>
      <c r="AI1609" s="1" t="s">
        <v>45</v>
      </c>
      <c r="AJ1609" s="1">
        <v>2016</v>
      </c>
      <c r="AK1609" s="1" t="s">
        <v>46</v>
      </c>
      <c r="AL1609" s="1">
        <v>111</v>
      </c>
    </row>
    <row r="1610" spans="1:38" x14ac:dyDescent="0.2">
      <c r="A1610" s="2" t="str">
        <f>HYPERLINK("https://www.compass.com/listing/91-leonard-street-unit-8c-manhattan-ny-10013/693577671180159265/","91 Leonard St, Unit 8C")</f>
        <v>91 Leonard St, Unit 8C</v>
      </c>
      <c r="B1610" s="2" t="str">
        <f t="shared" si="278"/>
        <v>91 Leonard</v>
      </c>
      <c r="C1610" s="1" t="s">
        <v>40</v>
      </c>
      <c r="D1610" s="1" t="s">
        <v>41</v>
      </c>
      <c r="E1610" s="3">
        <v>2670000</v>
      </c>
      <c r="F1610" s="1">
        <v>1749.6723460026201</v>
      </c>
      <c r="H1610" s="1">
        <v>2</v>
      </c>
      <c r="I1610" s="1">
        <v>3</v>
      </c>
      <c r="J1610" s="1">
        <v>2.5</v>
      </c>
      <c r="K1610" s="1">
        <v>2</v>
      </c>
      <c r="L1610" s="1">
        <v>1</v>
      </c>
      <c r="M1610" s="4">
        <v>1526</v>
      </c>
      <c r="S1610" s="1" t="s">
        <v>42</v>
      </c>
      <c r="T1610" s="1" t="s">
        <v>203</v>
      </c>
      <c r="V1610" s="5">
        <v>44254</v>
      </c>
      <c r="W1610" s="5">
        <v>43848</v>
      </c>
      <c r="X1610" s="1">
        <v>2670000</v>
      </c>
      <c r="AB1610" s="1" t="s">
        <v>204</v>
      </c>
      <c r="AF1610" s="1">
        <v>10013</v>
      </c>
      <c r="AI1610" s="1" t="s">
        <v>45</v>
      </c>
      <c r="AJ1610" s="1">
        <v>2016</v>
      </c>
      <c r="AK1610" s="1" t="s">
        <v>46</v>
      </c>
      <c r="AL1610" s="1">
        <v>111</v>
      </c>
    </row>
    <row r="1611" spans="1:38" x14ac:dyDescent="0.2">
      <c r="A1611" s="2" t="str">
        <f>HYPERLINK("https://www.compass.com/listing/91-leonard-street-unit-8c-manhattan-ny-10013/693577671188547881/","91 Leonard St, Unit 8C")</f>
        <v>91 Leonard St, Unit 8C</v>
      </c>
      <c r="B1611" s="2" t="str">
        <f t="shared" si="278"/>
        <v>91 Leonard</v>
      </c>
      <c r="C1611" s="1" t="s">
        <v>40</v>
      </c>
      <c r="D1611" s="1" t="s">
        <v>41</v>
      </c>
      <c r="E1611" s="3">
        <v>2754064</v>
      </c>
      <c r="F1611" s="1">
        <v>1804.76035386631</v>
      </c>
      <c r="H1611" s="1">
        <v>2</v>
      </c>
      <c r="J1611" s="1">
        <v>2.5</v>
      </c>
      <c r="K1611" s="1">
        <v>2</v>
      </c>
      <c r="L1611" s="1">
        <v>1</v>
      </c>
      <c r="M1611" s="4">
        <v>1526</v>
      </c>
      <c r="Q1611" s="1" t="s">
        <v>42</v>
      </c>
      <c r="S1611" s="1" t="s">
        <v>42</v>
      </c>
      <c r="T1611" s="1" t="s">
        <v>203</v>
      </c>
      <c r="AA1611" s="1">
        <v>2754064.3</v>
      </c>
      <c r="AB1611" s="1" t="s">
        <v>1201</v>
      </c>
      <c r="AC1611" s="5">
        <v>43773</v>
      </c>
      <c r="AF1611" s="1">
        <v>10013</v>
      </c>
      <c r="AI1611" s="1" t="s">
        <v>52</v>
      </c>
      <c r="AJ1611" s="1">
        <v>2016</v>
      </c>
      <c r="AK1611" s="1" t="s">
        <v>46</v>
      </c>
      <c r="AL1611" s="1">
        <v>111</v>
      </c>
    </row>
    <row r="1612" spans="1:38" x14ac:dyDescent="0.2">
      <c r="A1612" s="2" t="str">
        <f>HYPERLINK("https://www.compass.com/listing/91-leonard-street-unit-7c-manhattan-ny-10013/693577733826456969/","91 Leonard St, Unit 7C")</f>
        <v>91 Leonard St, Unit 7C</v>
      </c>
      <c r="B1612" s="2" t="str">
        <f t="shared" si="278"/>
        <v>91 Leonard</v>
      </c>
      <c r="C1612" s="1" t="s">
        <v>40</v>
      </c>
      <c r="D1612" s="1" t="s">
        <v>41</v>
      </c>
      <c r="E1612" s="3">
        <v>2650000</v>
      </c>
      <c r="F1612" s="1">
        <v>1738.84514435695</v>
      </c>
      <c r="H1612" s="1">
        <v>2</v>
      </c>
      <c r="J1612" s="1">
        <v>2.5</v>
      </c>
      <c r="K1612" s="1">
        <v>2</v>
      </c>
      <c r="L1612" s="1">
        <v>1</v>
      </c>
      <c r="M1612" s="4">
        <v>1524</v>
      </c>
      <c r="S1612" s="1" t="s">
        <v>42</v>
      </c>
      <c r="T1612" s="1" t="s">
        <v>203</v>
      </c>
      <c r="V1612" s="5">
        <v>44247</v>
      </c>
      <c r="W1612" s="5">
        <v>43799</v>
      </c>
      <c r="X1612" s="1">
        <v>2650000</v>
      </c>
      <c r="AB1612" s="1" t="s">
        <v>204</v>
      </c>
      <c r="AF1612" s="1">
        <v>10013</v>
      </c>
      <c r="AI1612" s="1" t="s">
        <v>45</v>
      </c>
      <c r="AJ1612" s="1">
        <v>2016</v>
      </c>
      <c r="AK1612" s="1" t="s">
        <v>46</v>
      </c>
      <c r="AL1612" s="1">
        <v>111</v>
      </c>
    </row>
    <row r="1613" spans="1:38" x14ac:dyDescent="0.2">
      <c r="A1613" s="2" t="str">
        <f>HYPERLINK("https://www.compass.com/listing/91-leonard-street-unit-7c-manhattan-ny-10013/693577733826456977/","91 Leonard St, Unit 7C")</f>
        <v>91 Leonard St, Unit 7C</v>
      </c>
      <c r="B1613" s="2" t="str">
        <f t="shared" si="278"/>
        <v>91 Leonard</v>
      </c>
      <c r="C1613" s="1" t="s">
        <v>40</v>
      </c>
      <c r="D1613" s="1" t="s">
        <v>41</v>
      </c>
      <c r="E1613" s="3">
        <v>2701622</v>
      </c>
      <c r="F1613" s="1">
        <v>1772.7179133858201</v>
      </c>
      <c r="H1613" s="1">
        <v>2</v>
      </c>
      <c r="J1613" s="1">
        <v>2.5</v>
      </c>
      <c r="K1613" s="1">
        <v>2</v>
      </c>
      <c r="L1613" s="1">
        <v>1</v>
      </c>
      <c r="M1613" s="4">
        <v>1524</v>
      </c>
      <c r="Q1613" s="1" t="s">
        <v>42</v>
      </c>
      <c r="S1613" s="1" t="s">
        <v>42</v>
      </c>
      <c r="T1613" s="1" t="s">
        <v>203</v>
      </c>
      <c r="AA1613" s="1">
        <v>2701622.1</v>
      </c>
      <c r="AB1613" s="1" t="s">
        <v>1202</v>
      </c>
      <c r="AC1613" s="5">
        <v>43763</v>
      </c>
      <c r="AF1613" s="1">
        <v>10013</v>
      </c>
      <c r="AI1613" s="1" t="s">
        <v>52</v>
      </c>
      <c r="AJ1613" s="1">
        <v>2016</v>
      </c>
      <c r="AK1613" s="1" t="s">
        <v>46</v>
      </c>
      <c r="AL1613" s="1">
        <v>111</v>
      </c>
    </row>
    <row r="1614" spans="1:38" x14ac:dyDescent="0.2">
      <c r="A1614" s="2" t="str">
        <f>HYPERLINK("https://www.compass.com/listing/91-leonard-street-unit-10b-manhattan-ny-10013/693577830656024945/","91 Leonard St, Unit 10B")</f>
        <v>91 Leonard St, Unit 10B</v>
      </c>
      <c r="B1614" s="2" t="str">
        <f t="shared" si="278"/>
        <v>91 Leonard</v>
      </c>
      <c r="C1614" s="1" t="s">
        <v>40</v>
      </c>
      <c r="D1614" s="1" t="s">
        <v>41</v>
      </c>
      <c r="E1614" s="3">
        <v>2410000</v>
      </c>
      <c r="F1614" s="1">
        <v>1951.4170040485801</v>
      </c>
      <c r="H1614" s="1">
        <v>2</v>
      </c>
      <c r="J1614" s="1">
        <v>2</v>
      </c>
      <c r="K1614" s="1">
        <v>2</v>
      </c>
      <c r="M1614" s="4">
        <v>1235</v>
      </c>
      <c r="S1614" s="1" t="s">
        <v>42</v>
      </c>
      <c r="T1614" s="1" t="s">
        <v>203</v>
      </c>
      <c r="V1614" s="5">
        <v>44247</v>
      </c>
      <c r="W1614" s="5">
        <v>43830</v>
      </c>
      <c r="X1614" s="1">
        <v>2410000</v>
      </c>
      <c r="AB1614" s="1" t="s">
        <v>204</v>
      </c>
      <c r="AF1614" s="1">
        <v>10013</v>
      </c>
      <c r="AI1614" s="1" t="s">
        <v>45</v>
      </c>
      <c r="AJ1614" s="1">
        <v>2016</v>
      </c>
      <c r="AK1614" s="1" t="s">
        <v>46</v>
      </c>
      <c r="AL1614" s="1">
        <v>111</v>
      </c>
    </row>
    <row r="1615" spans="1:38" x14ac:dyDescent="0.2">
      <c r="A1615" s="2" t="str">
        <f>HYPERLINK("https://www.compass.com/listing/91-leonard-street-unit-10b-manhattan-ny-10013/693577830656024953/","91 Leonard St, Unit 10B")</f>
        <v>91 Leonard St, Unit 10B</v>
      </c>
      <c r="B1615" s="2" t="str">
        <f t="shared" si="278"/>
        <v>91 Leonard</v>
      </c>
      <c r="C1615" s="1" t="s">
        <v>40</v>
      </c>
      <c r="D1615" s="1" t="s">
        <v>41</v>
      </c>
      <c r="E1615" s="3">
        <v>2457241</v>
      </c>
      <c r="F1615" s="1">
        <v>81908.03</v>
      </c>
      <c r="H1615" s="1">
        <v>2</v>
      </c>
      <c r="J1615" s="1">
        <v>2</v>
      </c>
      <c r="K1615" s="1">
        <v>2</v>
      </c>
      <c r="M1615" s="1">
        <v>30</v>
      </c>
      <c r="Q1615" s="1" t="s">
        <v>42</v>
      </c>
      <c r="S1615" s="1" t="s">
        <v>42</v>
      </c>
      <c r="T1615" s="1" t="s">
        <v>203</v>
      </c>
      <c r="AA1615" s="1">
        <v>2457240.9</v>
      </c>
      <c r="AB1615" s="1" t="s">
        <v>1203</v>
      </c>
      <c r="AC1615" s="5">
        <v>43804</v>
      </c>
      <c r="AF1615" s="1">
        <v>10013</v>
      </c>
      <c r="AI1615" s="1" t="s">
        <v>52</v>
      </c>
      <c r="AJ1615" s="1">
        <v>2016</v>
      </c>
      <c r="AK1615" s="1" t="s">
        <v>46</v>
      </c>
      <c r="AL1615" s="1">
        <v>111</v>
      </c>
    </row>
    <row r="1616" spans="1:38" x14ac:dyDescent="0.2">
      <c r="A1616" s="2" t="str">
        <f>HYPERLINK("https://www.compass.com/listing/91-leonard-street-unit-7a-manhattan-ny-10013/693578126664982817/","91 Leonard St, Unit 7A")</f>
        <v>91 Leonard St, Unit 7A</v>
      </c>
      <c r="B1616" s="2" t="str">
        <f t="shared" si="278"/>
        <v>91 Leonard</v>
      </c>
      <c r="C1616" s="1" t="s">
        <v>40</v>
      </c>
      <c r="D1616" s="1" t="s">
        <v>41</v>
      </c>
      <c r="E1616" s="3">
        <v>2660000</v>
      </c>
      <c r="F1616" s="1">
        <v>1819.42544459644</v>
      </c>
      <c r="H1616" s="1">
        <v>2</v>
      </c>
      <c r="J1616" s="1">
        <v>2.5</v>
      </c>
      <c r="K1616" s="1">
        <v>2</v>
      </c>
      <c r="L1616" s="1">
        <v>1</v>
      </c>
      <c r="M1616" s="4">
        <v>1462</v>
      </c>
      <c r="S1616" s="1" t="s">
        <v>42</v>
      </c>
      <c r="T1616" s="1" t="s">
        <v>203</v>
      </c>
      <c r="V1616" s="5">
        <v>44254</v>
      </c>
      <c r="W1616" s="5">
        <v>43825</v>
      </c>
      <c r="X1616" s="1">
        <v>2690000</v>
      </c>
      <c r="AB1616" s="1" t="s">
        <v>204</v>
      </c>
      <c r="AF1616" s="1">
        <v>10013</v>
      </c>
      <c r="AI1616" s="1" t="s">
        <v>45</v>
      </c>
      <c r="AJ1616" s="1">
        <v>2016</v>
      </c>
      <c r="AK1616" s="1" t="s">
        <v>46</v>
      </c>
      <c r="AL1616" s="1">
        <v>111</v>
      </c>
    </row>
    <row r="1617" spans="1:38" x14ac:dyDescent="0.2">
      <c r="A1617" s="2" t="str">
        <f>HYPERLINK("https://www.compass.com/listing/91-leonard-street-unit-7a-manhattan-ny-10013/693578126673371433/","91 Leonard St, Unit 7A")</f>
        <v>91 Leonard St, Unit 7A</v>
      </c>
      <c r="B1617" s="2" t="str">
        <f t="shared" si="278"/>
        <v>91 Leonard</v>
      </c>
      <c r="C1617" s="1" t="s">
        <v>40</v>
      </c>
      <c r="D1617" s="1" t="s">
        <v>41</v>
      </c>
      <c r="E1617" s="3">
        <v>2711803</v>
      </c>
      <c r="F1617" s="1">
        <v>1854.8586867305</v>
      </c>
      <c r="H1617" s="1">
        <v>2</v>
      </c>
      <c r="J1617" s="1">
        <v>2.5</v>
      </c>
      <c r="K1617" s="1">
        <v>2</v>
      </c>
      <c r="L1617" s="1">
        <v>1</v>
      </c>
      <c r="M1617" s="4">
        <v>1462</v>
      </c>
      <c r="Q1617" s="1" t="s">
        <v>42</v>
      </c>
      <c r="S1617" s="1" t="s">
        <v>42</v>
      </c>
      <c r="T1617" s="1" t="s">
        <v>203</v>
      </c>
      <c r="AA1617" s="1">
        <v>2711803.4</v>
      </c>
      <c r="AB1617" s="1" t="s">
        <v>1204</v>
      </c>
      <c r="AC1617" s="5">
        <v>43796</v>
      </c>
      <c r="AF1617" s="1">
        <v>10013</v>
      </c>
      <c r="AI1617" s="1" t="s">
        <v>52</v>
      </c>
      <c r="AJ1617" s="1">
        <v>2016</v>
      </c>
      <c r="AK1617" s="1" t="s">
        <v>46</v>
      </c>
      <c r="AL1617" s="1">
        <v>111</v>
      </c>
    </row>
    <row r="1618" spans="1:38" x14ac:dyDescent="0.2">
      <c r="A1618" s="2" t="str">
        <f>HYPERLINK("https://www.compass.com/listing/91-leonard-street-unit-8b-manhattan-ny-10013/841541744285339153/","91 Leonard St, Unit 8B")</f>
        <v>91 Leonard St, Unit 8B</v>
      </c>
      <c r="B1618" s="2" t="str">
        <f t="shared" si="278"/>
        <v>91 Leonard</v>
      </c>
      <c r="C1618" s="1" t="s">
        <v>40</v>
      </c>
      <c r="D1618" s="1" t="s">
        <v>41</v>
      </c>
      <c r="E1618" s="3">
        <v>2350000</v>
      </c>
      <c r="F1618" s="1">
        <v>1899.7574777687901</v>
      </c>
      <c r="G1618" s="1">
        <v>3</v>
      </c>
      <c r="H1618" s="1">
        <v>2</v>
      </c>
      <c r="I1618" s="1">
        <v>2</v>
      </c>
      <c r="J1618" s="1">
        <v>2</v>
      </c>
      <c r="K1618" s="1">
        <v>2</v>
      </c>
      <c r="M1618" s="4">
        <v>1237</v>
      </c>
      <c r="N1618" s="1">
        <v>1497</v>
      </c>
      <c r="O1618" s="1">
        <v>3809</v>
      </c>
      <c r="P1618" s="1">
        <v>2312</v>
      </c>
      <c r="S1618" s="1" t="s">
        <v>42</v>
      </c>
      <c r="T1618" s="1" t="s">
        <v>203</v>
      </c>
      <c r="U1618" s="1">
        <v>15</v>
      </c>
      <c r="V1618" s="5">
        <v>43784</v>
      </c>
      <c r="W1618" s="5">
        <v>43767</v>
      </c>
      <c r="X1618" s="1">
        <v>2350000</v>
      </c>
      <c r="Y1618" s="1">
        <v>2350000</v>
      </c>
      <c r="AA1618" s="1">
        <v>2350000</v>
      </c>
      <c r="AB1618" s="1" t="s">
        <v>204</v>
      </c>
      <c r="AC1618" s="5">
        <v>43782</v>
      </c>
      <c r="AF1618" s="1">
        <v>10013</v>
      </c>
      <c r="AI1618" s="1" t="s">
        <v>45</v>
      </c>
      <c r="AJ1618" s="1">
        <v>2016</v>
      </c>
      <c r="AK1618" s="1" t="s">
        <v>121</v>
      </c>
      <c r="AL1618" s="1">
        <v>111</v>
      </c>
    </row>
    <row r="1619" spans="1:38" x14ac:dyDescent="0.2">
      <c r="A1619" s="2" t="str">
        <f>HYPERLINK("https://www.compass.com/listing/91-leonard-street-unit-11a-manhattan-ny-10013/841541750661002537/","91 Leonard St, Unit 11A")</f>
        <v>91 Leonard St, Unit 11A</v>
      </c>
      <c r="B1619" s="2" t="str">
        <f t="shared" si="278"/>
        <v>91 Leonard</v>
      </c>
      <c r="C1619" s="1" t="s">
        <v>40</v>
      </c>
      <c r="D1619" s="1" t="s">
        <v>41</v>
      </c>
      <c r="E1619" s="3">
        <v>2913147</v>
      </c>
      <c r="F1619" s="1">
        <v>1973.67682926829</v>
      </c>
      <c r="G1619" s="1">
        <v>5</v>
      </c>
      <c r="H1619" s="1">
        <v>2</v>
      </c>
      <c r="I1619" s="1">
        <v>3</v>
      </c>
      <c r="J1619" s="1">
        <v>2.5</v>
      </c>
      <c r="K1619" s="1">
        <v>2</v>
      </c>
      <c r="L1619" s="1">
        <v>1</v>
      </c>
      <c r="M1619" s="4">
        <v>1476</v>
      </c>
      <c r="N1619" s="1">
        <v>1801</v>
      </c>
      <c r="O1619" s="1">
        <v>4551</v>
      </c>
      <c r="P1619" s="1">
        <v>2750</v>
      </c>
      <c r="S1619" s="1" t="s">
        <v>42</v>
      </c>
      <c r="T1619" s="1" t="s">
        <v>203</v>
      </c>
      <c r="U1619" s="1">
        <v>15</v>
      </c>
      <c r="V1619" s="5">
        <v>43784</v>
      </c>
      <c r="W1619" s="5">
        <v>43767</v>
      </c>
      <c r="X1619" s="1">
        <v>2860000</v>
      </c>
      <c r="Y1619" s="1">
        <v>2860000</v>
      </c>
      <c r="AA1619" s="1">
        <v>2913147</v>
      </c>
      <c r="AB1619" s="1" t="s">
        <v>204</v>
      </c>
      <c r="AC1619" s="5">
        <v>43782</v>
      </c>
      <c r="AF1619" s="1">
        <v>10013</v>
      </c>
      <c r="AI1619" s="1" t="s">
        <v>45</v>
      </c>
      <c r="AJ1619" s="1">
        <v>2016</v>
      </c>
      <c r="AK1619" s="1" t="s">
        <v>46</v>
      </c>
      <c r="AL1619" s="1">
        <v>111</v>
      </c>
    </row>
    <row r="1620" spans="1:38" x14ac:dyDescent="0.2">
      <c r="A1620" s="2" t="str">
        <f>HYPERLINK("https://www.compass.com/listing/550-west-29th-street-unit-5d-manhattan-ny-10001/724275602136191681/","550 W 29th St, Unit 5D")</f>
        <v>550 W 29th St, Unit 5D</v>
      </c>
      <c r="B1620" s="2" t="str">
        <f t="shared" ref="B1620:B1624" si="279">HYPERLINK("https://www.compass.com/building/five-five-zero-manhattan-ny/282059178623665589/","Five Five Zero")</f>
        <v>Five Five Zero</v>
      </c>
      <c r="C1620" s="1" t="s">
        <v>62</v>
      </c>
      <c r="D1620" s="1" t="s">
        <v>41</v>
      </c>
      <c r="E1620" s="3">
        <v>2975000</v>
      </c>
      <c r="F1620" s="1">
        <v>1600.3227541689</v>
      </c>
      <c r="G1620" s="1">
        <v>5</v>
      </c>
      <c r="H1620" s="1">
        <v>3</v>
      </c>
      <c r="I1620" s="1">
        <v>3</v>
      </c>
      <c r="J1620" s="1">
        <v>3</v>
      </c>
      <c r="K1620" s="1">
        <v>3</v>
      </c>
      <c r="M1620" s="4">
        <v>1859</v>
      </c>
      <c r="N1620" s="1">
        <v>2727</v>
      </c>
      <c r="O1620" s="1">
        <v>6319</v>
      </c>
      <c r="P1620" s="1">
        <v>3592</v>
      </c>
      <c r="Q1620" s="1" t="s">
        <v>42</v>
      </c>
      <c r="S1620" s="1" t="s">
        <v>42</v>
      </c>
      <c r="T1620" s="1" t="s">
        <v>203</v>
      </c>
      <c r="V1620" s="5">
        <v>44301</v>
      </c>
      <c r="W1620" s="5">
        <v>44250</v>
      </c>
      <c r="X1620" s="1">
        <v>3200000</v>
      </c>
      <c r="Y1620" s="1">
        <v>3200000</v>
      </c>
      <c r="Z1620" s="5">
        <v>44250</v>
      </c>
      <c r="AA1620" s="1">
        <v>2975000</v>
      </c>
      <c r="AB1620" s="1" t="s">
        <v>1205</v>
      </c>
      <c r="AC1620" s="5">
        <v>44286</v>
      </c>
      <c r="AF1620" s="1">
        <v>10001</v>
      </c>
      <c r="AI1620" s="1" t="s">
        <v>148</v>
      </c>
      <c r="AJ1620" s="1">
        <v>2016</v>
      </c>
      <c r="AK1620" s="1" t="s">
        <v>81</v>
      </c>
      <c r="AL1620" s="1">
        <v>19</v>
      </c>
    </row>
    <row r="1621" spans="1:38" x14ac:dyDescent="0.2">
      <c r="A1621" s="2" t="str">
        <f>HYPERLINK("https://www.compass.com/listing/550-west-29th-street-unit-3d-manhattan-ny-10001/176179380802918817/","550 W 29th St, Unit 3D")</f>
        <v>550 W 29th St, Unit 3D</v>
      </c>
      <c r="B1621" s="2" t="str">
        <f t="shared" si="279"/>
        <v>Five Five Zero</v>
      </c>
      <c r="C1621" s="1" t="s">
        <v>62</v>
      </c>
      <c r="D1621" s="1" t="s">
        <v>41</v>
      </c>
      <c r="E1621" s="3">
        <v>3063552</v>
      </c>
      <c r="F1621" s="1">
        <v>1644.41867954911</v>
      </c>
      <c r="G1621" s="1">
        <v>5</v>
      </c>
      <c r="H1621" s="1">
        <v>2</v>
      </c>
      <c r="I1621" s="1">
        <v>3</v>
      </c>
      <c r="J1621" s="1">
        <v>3</v>
      </c>
      <c r="K1621" s="1">
        <v>3</v>
      </c>
      <c r="M1621" s="4">
        <v>1863</v>
      </c>
      <c r="N1621" s="1">
        <v>1</v>
      </c>
      <c r="O1621" s="1">
        <v>3423</v>
      </c>
      <c r="P1621" s="1">
        <v>3422</v>
      </c>
      <c r="Q1621" s="1" t="s">
        <v>42</v>
      </c>
      <c r="S1621" s="1" t="s">
        <v>42</v>
      </c>
      <c r="T1621" s="1" t="s">
        <v>203</v>
      </c>
      <c r="U1621" s="1">
        <v>14</v>
      </c>
      <c r="V1621" s="5">
        <v>43745</v>
      </c>
      <c r="W1621" s="5">
        <v>43495</v>
      </c>
      <c r="X1621" s="1">
        <v>3375000</v>
      </c>
      <c r="Y1621" s="1">
        <v>3375000</v>
      </c>
      <c r="Z1621" s="5">
        <v>43509</v>
      </c>
      <c r="AA1621" s="1">
        <v>3063552</v>
      </c>
      <c r="AB1621" s="1" t="s">
        <v>1206</v>
      </c>
      <c r="AC1621" s="5">
        <v>43735</v>
      </c>
      <c r="AF1621" s="1">
        <v>10001</v>
      </c>
      <c r="AI1621" s="1" t="s">
        <v>134</v>
      </c>
      <c r="AJ1621" s="1">
        <v>2016</v>
      </c>
      <c r="AK1621" s="1" t="s">
        <v>81</v>
      </c>
      <c r="AL1621" s="1">
        <v>19</v>
      </c>
    </row>
    <row r="1622" spans="1:38" x14ac:dyDescent="0.2">
      <c r="A1622" s="2" t="str">
        <f>HYPERLINK("https://www.compass.com/listing/550-west-29th-street-unit-2b-manhattan-ny-10001/223932133322910689/","550 W 29th St, Unit 2B")</f>
        <v>550 W 29th St, Unit 2B</v>
      </c>
      <c r="B1622" s="2" t="str">
        <f t="shared" si="279"/>
        <v>Five Five Zero</v>
      </c>
      <c r="C1622" s="1" t="s">
        <v>62</v>
      </c>
      <c r="D1622" s="1" t="s">
        <v>41</v>
      </c>
      <c r="E1622" s="3">
        <v>3469075</v>
      </c>
      <c r="F1622" s="1">
        <v>1528.90037902159</v>
      </c>
      <c r="G1622" s="1">
        <v>6</v>
      </c>
      <c r="H1622" s="1">
        <v>3</v>
      </c>
      <c r="I1622" s="1">
        <v>4</v>
      </c>
      <c r="J1622" s="1">
        <v>3.5</v>
      </c>
      <c r="K1622" s="1">
        <v>3</v>
      </c>
      <c r="L1622" s="1">
        <v>1</v>
      </c>
      <c r="M1622" s="4">
        <v>2269</v>
      </c>
      <c r="N1622" s="1">
        <v>1</v>
      </c>
      <c r="O1622" s="1">
        <v>4242</v>
      </c>
      <c r="P1622" s="1">
        <v>4241</v>
      </c>
      <c r="Q1622" s="1" t="s">
        <v>42</v>
      </c>
      <c r="S1622" s="1" t="s">
        <v>42</v>
      </c>
      <c r="T1622" s="1" t="s">
        <v>203</v>
      </c>
      <c r="V1622" s="5">
        <v>43745</v>
      </c>
      <c r="W1622" s="5">
        <v>43561</v>
      </c>
      <c r="X1622" s="1">
        <v>4750000</v>
      </c>
      <c r="Y1622" s="1">
        <v>4750000</v>
      </c>
      <c r="Z1622" s="5">
        <v>43561</v>
      </c>
      <c r="AA1622" s="1">
        <v>3469074</v>
      </c>
      <c r="AB1622" s="1" t="s">
        <v>204</v>
      </c>
      <c r="AC1622" s="5">
        <v>43734</v>
      </c>
      <c r="AF1622" s="1">
        <v>10001</v>
      </c>
      <c r="AI1622" s="1" t="s">
        <v>93</v>
      </c>
      <c r="AJ1622" s="1">
        <v>2016</v>
      </c>
      <c r="AK1622" s="1" t="s">
        <v>81</v>
      </c>
      <c r="AL1622" s="1">
        <v>19</v>
      </c>
    </row>
    <row r="1623" spans="1:38" x14ac:dyDescent="0.2">
      <c r="A1623" s="2" t="str">
        <f>HYPERLINK("https://www.compass.com/listing/550-west-29th-street-unit-5a-manhattan-ny-10001/232184554805328081/","550 W 29th St, Unit 5A")</f>
        <v>550 W 29th St, Unit 5A</v>
      </c>
      <c r="B1623" s="2" t="str">
        <f t="shared" si="279"/>
        <v>Five Five Zero</v>
      </c>
      <c r="C1623" s="1" t="s">
        <v>62</v>
      </c>
      <c r="D1623" s="1" t="s">
        <v>41</v>
      </c>
      <c r="E1623" s="3">
        <v>3600000</v>
      </c>
      <c r="F1623" s="1">
        <v>1651.3761467889899</v>
      </c>
      <c r="G1623" s="1">
        <v>5</v>
      </c>
      <c r="H1623" s="1">
        <v>3</v>
      </c>
      <c r="I1623" s="1">
        <v>4</v>
      </c>
      <c r="J1623" s="1">
        <v>3.5</v>
      </c>
      <c r="K1623" s="1">
        <v>3</v>
      </c>
      <c r="L1623" s="1">
        <v>1</v>
      </c>
      <c r="M1623" s="4">
        <v>2180</v>
      </c>
      <c r="N1623" s="1">
        <v>1</v>
      </c>
      <c r="O1623" s="1">
        <v>4147</v>
      </c>
      <c r="P1623" s="1">
        <v>4146</v>
      </c>
      <c r="Q1623" s="1" t="s">
        <v>42</v>
      </c>
      <c r="S1623" s="1" t="s">
        <v>42</v>
      </c>
      <c r="T1623" s="1" t="s">
        <v>203</v>
      </c>
      <c r="U1623" s="1">
        <v>91</v>
      </c>
      <c r="V1623" s="5">
        <v>43766</v>
      </c>
      <c r="W1623" s="5">
        <v>43572</v>
      </c>
      <c r="X1623" s="1">
        <v>4250000</v>
      </c>
      <c r="Y1623" s="1">
        <v>4250000</v>
      </c>
      <c r="Z1623" s="5">
        <v>43713</v>
      </c>
      <c r="AA1623" s="1">
        <v>3600000</v>
      </c>
      <c r="AB1623" s="1" t="s">
        <v>1207</v>
      </c>
      <c r="AC1623" s="5">
        <v>43753</v>
      </c>
      <c r="AF1623" s="1">
        <v>10001</v>
      </c>
      <c r="AI1623" s="1" t="s">
        <v>58</v>
      </c>
      <c r="AJ1623" s="1">
        <v>2016</v>
      </c>
      <c r="AK1623" s="1" t="s">
        <v>81</v>
      </c>
      <c r="AL1623" s="1">
        <v>19</v>
      </c>
    </row>
    <row r="1624" spans="1:38" x14ac:dyDescent="0.2">
      <c r="A1624" s="2" t="str">
        <f>HYPERLINK("https://www.compass.com/listing/550-west-29th-street-unit-7c-manhattan-ny-10001/338518614625363105/","550 W 29th St, Unit 7C")</f>
        <v>550 W 29th St, Unit 7C</v>
      </c>
      <c r="B1624" s="2" t="str">
        <f t="shared" si="279"/>
        <v>Five Five Zero</v>
      </c>
      <c r="C1624" s="1" t="s">
        <v>62</v>
      </c>
      <c r="D1624" s="1" t="s">
        <v>41</v>
      </c>
      <c r="E1624" s="3">
        <v>3100000</v>
      </c>
      <c r="F1624" s="1">
        <v>1667.5632060247401</v>
      </c>
      <c r="G1624" s="1">
        <v>5</v>
      </c>
      <c r="H1624" s="1">
        <v>3</v>
      </c>
      <c r="I1624" s="1">
        <v>3</v>
      </c>
      <c r="J1624" s="1">
        <v>3</v>
      </c>
      <c r="K1624" s="1">
        <v>3</v>
      </c>
      <c r="M1624" s="4">
        <v>1859</v>
      </c>
      <c r="N1624" s="1">
        <v>1</v>
      </c>
      <c r="O1624" s="1">
        <v>3770</v>
      </c>
      <c r="P1624" s="1">
        <v>3769</v>
      </c>
      <c r="Q1624" s="1" t="s">
        <v>42</v>
      </c>
      <c r="S1624" s="1" t="s">
        <v>42</v>
      </c>
      <c r="T1624" s="1" t="s">
        <v>203</v>
      </c>
      <c r="V1624" s="5">
        <v>43754</v>
      </c>
      <c r="W1624" s="5">
        <v>43718</v>
      </c>
      <c r="X1624" s="1">
        <v>3550000</v>
      </c>
      <c r="Y1624" s="1">
        <v>3550000</v>
      </c>
      <c r="Z1624" s="5">
        <v>43718</v>
      </c>
      <c r="AA1624" s="1">
        <v>3100000</v>
      </c>
      <c r="AB1624" s="1" t="s">
        <v>1208</v>
      </c>
      <c r="AC1624" s="5">
        <v>43749</v>
      </c>
      <c r="AF1624" s="1">
        <v>10001</v>
      </c>
      <c r="AI1624" s="1" t="s">
        <v>134</v>
      </c>
      <c r="AJ1624" s="1">
        <v>2016</v>
      </c>
      <c r="AK1624" s="1" t="s">
        <v>81</v>
      </c>
      <c r="AL1624" s="1">
        <v>19</v>
      </c>
    </row>
    <row r="1625" spans="1:38" x14ac:dyDescent="0.2">
      <c r="A1625" s="2" t="str">
        <f>HYPERLINK("https://www.compass.com/listing/91-leonard-street-unit-14b-manhattan-ny-10013/384673691874137089/","91 Leonard St, Unit 14B")</f>
        <v>91 Leonard St, Unit 14B</v>
      </c>
      <c r="B1625" s="2" t="str">
        <f t="shared" ref="B1625:B1638" si="280">HYPERLINK("https://www.compass.com/building/91-leonard-manhattan-ny/282058661633754165/","91 Leonard")</f>
        <v>91 Leonard</v>
      </c>
      <c r="C1625" s="1" t="s">
        <v>40</v>
      </c>
      <c r="D1625" s="1" t="s">
        <v>41</v>
      </c>
      <c r="E1625" s="3">
        <v>4064787</v>
      </c>
      <c r="F1625" s="1">
        <v>2574.2792906903101</v>
      </c>
      <c r="G1625" s="1">
        <v>5</v>
      </c>
      <c r="H1625" s="1">
        <v>2</v>
      </c>
      <c r="J1625" s="1">
        <v>2.5</v>
      </c>
      <c r="K1625" s="1">
        <v>2</v>
      </c>
      <c r="L1625" s="1">
        <v>1</v>
      </c>
      <c r="M1625" s="4">
        <v>1579</v>
      </c>
      <c r="S1625" s="1" t="s">
        <v>42</v>
      </c>
      <c r="T1625" s="1" t="s">
        <v>203</v>
      </c>
      <c r="U1625" s="1">
        <v>26</v>
      </c>
      <c r="V1625" s="5">
        <v>44247</v>
      </c>
      <c r="W1625" s="5">
        <v>43755</v>
      </c>
      <c r="X1625" s="1">
        <v>3950000</v>
      </c>
      <c r="Y1625" s="1">
        <v>3950000</v>
      </c>
      <c r="AA1625" s="1">
        <v>4064787</v>
      </c>
      <c r="AB1625" s="1" t="s">
        <v>204</v>
      </c>
      <c r="AC1625" s="5">
        <v>43782</v>
      </c>
      <c r="AF1625" s="1">
        <v>10013</v>
      </c>
      <c r="AI1625" s="1" t="s">
        <v>45</v>
      </c>
      <c r="AJ1625" s="1">
        <v>2016</v>
      </c>
      <c r="AK1625" s="1" t="s">
        <v>46</v>
      </c>
      <c r="AL1625" s="1">
        <v>111</v>
      </c>
    </row>
    <row r="1626" spans="1:38" x14ac:dyDescent="0.2">
      <c r="A1626" s="2" t="str">
        <f>HYPERLINK("https://www.compass.com/listing/91-leonard-street-unit-17b-manhattan-ny-10013/693577991851636673/","91 Leonard St, Unit 17B")</f>
        <v>91 Leonard St, Unit 17B</v>
      </c>
      <c r="B1626" s="2" t="str">
        <f t="shared" si="280"/>
        <v>91 Leonard</v>
      </c>
      <c r="C1626" s="1" t="s">
        <v>40</v>
      </c>
      <c r="D1626" s="1" t="s">
        <v>41</v>
      </c>
      <c r="E1626" s="3">
        <v>3690000</v>
      </c>
      <c r="F1626" s="1">
        <v>2335.44303797468</v>
      </c>
      <c r="H1626" s="1">
        <v>2</v>
      </c>
      <c r="I1626" s="1">
        <v>3</v>
      </c>
      <c r="J1626" s="1">
        <v>2.5</v>
      </c>
      <c r="K1626" s="1">
        <v>2</v>
      </c>
      <c r="L1626" s="1">
        <v>1</v>
      </c>
      <c r="M1626" s="4">
        <v>1580</v>
      </c>
      <c r="S1626" s="1" t="s">
        <v>42</v>
      </c>
      <c r="T1626" s="1" t="s">
        <v>203</v>
      </c>
      <c r="V1626" s="5">
        <v>44254</v>
      </c>
      <c r="AB1626" s="1" t="s">
        <v>204</v>
      </c>
      <c r="AF1626" s="1">
        <v>10013</v>
      </c>
      <c r="AI1626" s="1" t="s">
        <v>45</v>
      </c>
      <c r="AJ1626" s="1">
        <v>2016</v>
      </c>
      <c r="AK1626" s="1" t="s">
        <v>46</v>
      </c>
      <c r="AL1626" s="1">
        <v>111</v>
      </c>
    </row>
    <row r="1627" spans="1:38" x14ac:dyDescent="0.2">
      <c r="A1627" s="2" t="str">
        <f>HYPERLINK("https://www.compass.com/listing/91-leonard-street-unit-17b-manhattan-ny-10013/693577991851636681/","91 Leonard St, Unit 17B")</f>
        <v>91 Leonard St, Unit 17B</v>
      </c>
      <c r="B1627" s="2" t="str">
        <f t="shared" si="280"/>
        <v>91 Leonard</v>
      </c>
      <c r="C1627" s="1" t="s">
        <v>40</v>
      </c>
      <c r="D1627" s="1" t="s">
        <v>41</v>
      </c>
      <c r="E1627" s="3">
        <v>3836971</v>
      </c>
      <c r="F1627" s="1">
        <v>91356.448809523805</v>
      </c>
      <c r="H1627" s="1">
        <v>2</v>
      </c>
      <c r="J1627" s="1">
        <v>2.5</v>
      </c>
      <c r="K1627" s="1">
        <v>2</v>
      </c>
      <c r="L1627" s="1">
        <v>1</v>
      </c>
      <c r="M1627" s="1">
        <v>42</v>
      </c>
      <c r="Q1627" s="1" t="s">
        <v>42</v>
      </c>
      <c r="S1627" s="1" t="s">
        <v>42</v>
      </c>
      <c r="T1627" s="1" t="s">
        <v>203</v>
      </c>
      <c r="AA1627" s="1">
        <v>3836970.85</v>
      </c>
      <c r="AB1627" s="1" t="s">
        <v>1209</v>
      </c>
      <c r="AC1627" s="5">
        <v>43782</v>
      </c>
      <c r="AF1627" s="1">
        <v>10013</v>
      </c>
      <c r="AI1627" s="1" t="s">
        <v>52</v>
      </c>
      <c r="AJ1627" s="1">
        <v>2016</v>
      </c>
      <c r="AK1627" s="1" t="s">
        <v>46</v>
      </c>
      <c r="AL1627" s="1">
        <v>111</v>
      </c>
    </row>
    <row r="1628" spans="1:38" x14ac:dyDescent="0.2">
      <c r="A1628" s="2" t="str">
        <f>HYPERLINK("https://www.compass.com/listing/91-leonard-street-unit-2a-manhattan-ny-10013/384642320528867761/","91 Leonard St, Unit 2A")</f>
        <v>91 Leonard St, Unit 2A</v>
      </c>
      <c r="B1628" s="2" t="str">
        <f t="shared" si="280"/>
        <v>91 Leonard</v>
      </c>
      <c r="C1628" s="1" t="s">
        <v>40</v>
      </c>
      <c r="D1628" s="1" t="s">
        <v>41</v>
      </c>
      <c r="E1628" s="3">
        <v>1654656</v>
      </c>
      <c r="F1628" s="1">
        <v>1651.3532934131699</v>
      </c>
      <c r="G1628" s="1">
        <v>2</v>
      </c>
      <c r="H1628" s="1">
        <v>1</v>
      </c>
      <c r="J1628" s="1">
        <v>1.5</v>
      </c>
      <c r="K1628" s="1">
        <v>1</v>
      </c>
      <c r="L1628" s="1">
        <v>1</v>
      </c>
      <c r="M1628" s="4">
        <v>1002</v>
      </c>
      <c r="S1628" s="1" t="s">
        <v>42</v>
      </c>
      <c r="T1628" s="1" t="s">
        <v>203</v>
      </c>
      <c r="U1628" s="1">
        <v>26</v>
      </c>
      <c r="V1628" s="5">
        <v>44247</v>
      </c>
      <c r="W1628" s="5">
        <v>43755</v>
      </c>
      <c r="X1628" s="1">
        <v>1625000</v>
      </c>
      <c r="Y1628" s="1">
        <v>1625000</v>
      </c>
      <c r="AA1628" s="1">
        <v>1654656</v>
      </c>
      <c r="AB1628" s="1" t="s">
        <v>204</v>
      </c>
      <c r="AC1628" s="5">
        <v>43782</v>
      </c>
      <c r="AF1628" s="1">
        <v>10013</v>
      </c>
      <c r="AI1628" s="1" t="s">
        <v>45</v>
      </c>
      <c r="AJ1628" s="1">
        <v>2016</v>
      </c>
      <c r="AK1628" s="1" t="s">
        <v>46</v>
      </c>
      <c r="AL1628" s="1">
        <v>111</v>
      </c>
    </row>
    <row r="1629" spans="1:38" x14ac:dyDescent="0.2">
      <c r="A1629" s="2" t="str">
        <f>HYPERLINK("https://www.compass.com/listing/91-leonard-street-unit-8g-manhattan-ny-10013/384673681130582145/","91 Leonard St, Unit 8G")</f>
        <v>91 Leonard St, Unit 8G</v>
      </c>
      <c r="B1629" s="2" t="str">
        <f t="shared" si="280"/>
        <v>91 Leonard</v>
      </c>
      <c r="C1629" s="1" t="s">
        <v>40</v>
      </c>
      <c r="D1629" s="1" t="s">
        <v>41</v>
      </c>
      <c r="E1629" s="3">
        <v>1403200</v>
      </c>
      <c r="G1629" s="1">
        <v>3</v>
      </c>
      <c r="H1629" s="1">
        <v>1</v>
      </c>
      <c r="I1629" s="1">
        <v>2</v>
      </c>
      <c r="J1629" s="1">
        <v>1.5</v>
      </c>
      <c r="K1629" s="1">
        <v>1</v>
      </c>
      <c r="L1629" s="1">
        <v>1</v>
      </c>
      <c r="S1629" s="1" t="s">
        <v>42</v>
      </c>
      <c r="T1629" s="1" t="s">
        <v>203</v>
      </c>
      <c r="U1629" s="1">
        <v>7</v>
      </c>
      <c r="V1629" s="5">
        <v>43784</v>
      </c>
      <c r="W1629" s="5">
        <v>43774</v>
      </c>
      <c r="X1629" s="1">
        <v>1400000</v>
      </c>
      <c r="Y1629" s="1">
        <v>1400000</v>
      </c>
      <c r="AA1629" s="1">
        <v>1403200</v>
      </c>
      <c r="AB1629" s="1" t="s">
        <v>204</v>
      </c>
      <c r="AC1629" s="5">
        <v>43782</v>
      </c>
      <c r="AF1629" s="1">
        <v>10013</v>
      </c>
      <c r="AI1629" s="1" t="s">
        <v>45</v>
      </c>
      <c r="AJ1629" s="1">
        <v>2016</v>
      </c>
      <c r="AK1629" s="1" t="s">
        <v>46</v>
      </c>
      <c r="AL1629" s="1">
        <v>111</v>
      </c>
    </row>
    <row r="1630" spans="1:38" x14ac:dyDescent="0.2">
      <c r="A1630" s="2" t="str">
        <f>HYPERLINK("https://www.compass.com/listing/91-leonard-street-unit-3a-manhattan-ny-10013/384673690601103889/","91 Leonard St, Unit 3A")</f>
        <v>91 Leonard St, Unit 3A</v>
      </c>
      <c r="B1630" s="2" t="str">
        <f t="shared" si="280"/>
        <v>91 Leonard</v>
      </c>
      <c r="C1630" s="1" t="s">
        <v>40</v>
      </c>
      <c r="D1630" s="1" t="s">
        <v>41</v>
      </c>
      <c r="E1630" s="3">
        <v>1591728</v>
      </c>
      <c r="F1630" s="1">
        <v>1588.5508982035899</v>
      </c>
      <c r="G1630" s="1">
        <v>2</v>
      </c>
      <c r="H1630" s="1">
        <v>1</v>
      </c>
      <c r="J1630" s="1">
        <v>1.5</v>
      </c>
      <c r="K1630" s="1">
        <v>1</v>
      </c>
      <c r="L1630" s="1">
        <v>1</v>
      </c>
      <c r="M1630" s="4">
        <v>1002</v>
      </c>
      <c r="S1630" s="1" t="s">
        <v>42</v>
      </c>
      <c r="T1630" s="1" t="s">
        <v>203</v>
      </c>
      <c r="U1630" s="1">
        <v>26</v>
      </c>
      <c r="V1630" s="5">
        <v>44247</v>
      </c>
      <c r="W1630" s="5">
        <v>43755</v>
      </c>
      <c r="X1630" s="1">
        <v>1635000</v>
      </c>
      <c r="Y1630" s="1">
        <v>1635000</v>
      </c>
      <c r="AA1630" s="1">
        <v>1591728</v>
      </c>
      <c r="AB1630" s="1" t="s">
        <v>204</v>
      </c>
      <c r="AC1630" s="5">
        <v>43782</v>
      </c>
      <c r="AF1630" s="1">
        <v>10013</v>
      </c>
      <c r="AI1630" s="1" t="s">
        <v>45</v>
      </c>
      <c r="AJ1630" s="1">
        <v>2016</v>
      </c>
      <c r="AK1630" s="1" t="s">
        <v>46</v>
      </c>
      <c r="AL1630" s="1">
        <v>111</v>
      </c>
    </row>
    <row r="1631" spans="1:38" x14ac:dyDescent="0.2">
      <c r="A1631" s="2" t="str">
        <f>HYPERLINK("https://www.compass.com/listing/91-leonard-street-unit-6h-manhattan-ny-10013/693578055739320673/","91 Leonard St, Unit 6H")</f>
        <v>91 Leonard St, Unit 6H</v>
      </c>
      <c r="B1631" s="2" t="str">
        <f t="shared" si="280"/>
        <v>91 Leonard</v>
      </c>
      <c r="C1631" s="1" t="s">
        <v>40</v>
      </c>
      <c r="D1631" s="1" t="s">
        <v>41</v>
      </c>
      <c r="E1631" s="3">
        <v>1450000</v>
      </c>
      <c r="F1631" s="1">
        <v>1582.9694323144099</v>
      </c>
      <c r="G1631" s="1">
        <v>2</v>
      </c>
      <c r="H1631" s="1">
        <v>1</v>
      </c>
      <c r="I1631" s="1">
        <v>2</v>
      </c>
      <c r="J1631" s="1">
        <v>1.5</v>
      </c>
      <c r="K1631" s="1">
        <v>1</v>
      </c>
      <c r="L1631" s="1">
        <v>1</v>
      </c>
      <c r="M1631" s="1">
        <v>916</v>
      </c>
      <c r="N1631" s="1">
        <v>1100</v>
      </c>
      <c r="O1631" s="1">
        <v>2798</v>
      </c>
      <c r="P1631" s="1">
        <v>1698</v>
      </c>
      <c r="S1631" s="1" t="s">
        <v>42</v>
      </c>
      <c r="T1631" s="1" t="s">
        <v>203</v>
      </c>
      <c r="V1631" s="5">
        <v>44254</v>
      </c>
      <c r="W1631" s="5">
        <v>43797</v>
      </c>
      <c r="X1631" s="1">
        <v>1450000</v>
      </c>
      <c r="AB1631" s="1" t="s">
        <v>204</v>
      </c>
      <c r="AF1631" s="1">
        <v>10013</v>
      </c>
      <c r="AI1631" s="1" t="s">
        <v>45</v>
      </c>
      <c r="AJ1631" s="1">
        <v>2016</v>
      </c>
      <c r="AK1631" s="1" t="s">
        <v>46</v>
      </c>
      <c r="AL1631" s="1">
        <v>111</v>
      </c>
    </row>
    <row r="1632" spans="1:38" x14ac:dyDescent="0.2">
      <c r="A1632" s="2" t="str">
        <f>HYPERLINK("https://www.compass.com/listing/91-leonard-street-unit-6h-manhattan-ny-10013/693578055747709289/","91 Leonard St, Unit 6H")</f>
        <v>91 Leonard St, Unit 6H</v>
      </c>
      <c r="B1632" s="2" t="str">
        <f t="shared" si="280"/>
        <v>91 Leonard</v>
      </c>
      <c r="C1632" s="1" t="s">
        <v>40</v>
      </c>
      <c r="D1632" s="1" t="s">
        <v>41</v>
      </c>
      <c r="E1632" s="3">
        <v>1479721</v>
      </c>
      <c r="F1632" s="1">
        <v>1601.4295454545399</v>
      </c>
      <c r="H1632" s="1">
        <v>1</v>
      </c>
      <c r="J1632" s="1">
        <v>1.5</v>
      </c>
      <c r="K1632" s="1">
        <v>1</v>
      </c>
      <c r="L1632" s="1">
        <v>1</v>
      </c>
      <c r="M1632" s="1">
        <v>924</v>
      </c>
      <c r="N1632" s="1">
        <v>1100</v>
      </c>
      <c r="O1632" s="1">
        <v>2798</v>
      </c>
      <c r="P1632" s="1">
        <v>1698</v>
      </c>
      <c r="Q1632" s="1" t="s">
        <v>42</v>
      </c>
      <c r="S1632" s="1" t="s">
        <v>42</v>
      </c>
      <c r="T1632" s="1" t="s">
        <v>203</v>
      </c>
      <c r="AA1632" s="1">
        <v>1479720.9</v>
      </c>
      <c r="AB1632" s="1" t="s">
        <v>1210</v>
      </c>
      <c r="AC1632" s="5">
        <v>43761</v>
      </c>
      <c r="AF1632" s="1">
        <v>10013</v>
      </c>
      <c r="AI1632" s="1" t="s">
        <v>52</v>
      </c>
      <c r="AJ1632" s="1">
        <v>2016</v>
      </c>
      <c r="AK1632" s="1" t="s">
        <v>46</v>
      </c>
      <c r="AL1632" s="1">
        <v>111</v>
      </c>
    </row>
    <row r="1633" spans="1:38" x14ac:dyDescent="0.2">
      <c r="A1633" s="2" t="str">
        <f>HYPERLINK("https://www.compass.com/listing/91-leonard-street-unit-6h-manhattan-ny-10013/785952915990355097/","91 Leonard St, Unit 6H")</f>
        <v>91 Leonard St, Unit 6H</v>
      </c>
      <c r="B1633" s="2" t="str">
        <f t="shared" si="280"/>
        <v>91 Leonard</v>
      </c>
      <c r="C1633" s="1" t="s">
        <v>40</v>
      </c>
      <c r="D1633" s="1" t="s">
        <v>41</v>
      </c>
      <c r="E1633" s="3">
        <v>990000</v>
      </c>
      <c r="F1633" s="1">
        <v>1071.42857142857</v>
      </c>
      <c r="H1633" s="1">
        <v>1</v>
      </c>
      <c r="J1633" s="1">
        <v>1.5</v>
      </c>
      <c r="K1633" s="1">
        <v>1</v>
      </c>
      <c r="L1633" s="1">
        <v>1</v>
      </c>
      <c r="M1633" s="1">
        <v>924</v>
      </c>
      <c r="N1633" s="1">
        <v>1100</v>
      </c>
      <c r="O1633" s="1">
        <v>2798</v>
      </c>
      <c r="P1633" s="1">
        <v>1698</v>
      </c>
      <c r="Q1633" s="1" t="s">
        <v>42</v>
      </c>
      <c r="S1633" s="1" t="s">
        <v>42</v>
      </c>
      <c r="T1633" s="1" t="s">
        <v>203</v>
      </c>
      <c r="AA1633" s="1">
        <v>990000</v>
      </c>
      <c r="AB1633" s="1" t="s">
        <v>1211</v>
      </c>
      <c r="AC1633" s="5">
        <v>44313</v>
      </c>
      <c r="AF1633" s="1">
        <v>10013</v>
      </c>
      <c r="AI1633" s="1" t="s">
        <v>52</v>
      </c>
      <c r="AJ1633" s="1">
        <v>2016</v>
      </c>
      <c r="AK1633" s="1" t="s">
        <v>46</v>
      </c>
      <c r="AL1633" s="1">
        <v>111</v>
      </c>
    </row>
    <row r="1634" spans="1:38" x14ac:dyDescent="0.2">
      <c r="A1634" s="2" t="str">
        <f>HYPERLINK("https://www.compass.com/listing/91-leonard-street-unit-2b-manhattan-ny-10013/841541762790608937/","91 Leonard St, Unit 2B")</f>
        <v>91 Leonard St, Unit 2B</v>
      </c>
      <c r="B1634" s="2" t="str">
        <f t="shared" si="280"/>
        <v>91 Leonard</v>
      </c>
      <c r="C1634" s="1" t="s">
        <v>40</v>
      </c>
      <c r="D1634" s="1" t="s">
        <v>41</v>
      </c>
      <c r="E1634" s="3">
        <v>1556089</v>
      </c>
      <c r="F1634" s="1">
        <v>1863.5796407185601</v>
      </c>
      <c r="G1634" s="1">
        <v>2</v>
      </c>
      <c r="H1634" s="1">
        <v>1</v>
      </c>
      <c r="I1634" s="1">
        <v>2</v>
      </c>
      <c r="J1634" s="1">
        <v>1.5</v>
      </c>
      <c r="K1634" s="1">
        <v>1</v>
      </c>
      <c r="L1634" s="1">
        <v>1</v>
      </c>
      <c r="M1634" s="1">
        <v>835</v>
      </c>
      <c r="N1634" s="1">
        <v>989</v>
      </c>
      <c r="O1634" s="1">
        <v>2492</v>
      </c>
      <c r="P1634" s="1">
        <v>1503</v>
      </c>
      <c r="S1634" s="1" t="s">
        <v>42</v>
      </c>
      <c r="T1634" s="1" t="s">
        <v>203</v>
      </c>
      <c r="U1634" s="1">
        <v>15</v>
      </c>
      <c r="V1634" s="5">
        <v>43784</v>
      </c>
      <c r="W1634" s="5">
        <v>43767</v>
      </c>
      <c r="X1634" s="1">
        <v>1525000</v>
      </c>
      <c r="Y1634" s="1">
        <v>1525000</v>
      </c>
      <c r="AA1634" s="1">
        <v>1556089</v>
      </c>
      <c r="AB1634" s="1" t="s">
        <v>204</v>
      </c>
      <c r="AC1634" s="5">
        <v>43782</v>
      </c>
      <c r="AF1634" s="1">
        <v>10013</v>
      </c>
      <c r="AI1634" s="1" t="s">
        <v>45</v>
      </c>
      <c r="AJ1634" s="1">
        <v>2016</v>
      </c>
      <c r="AK1634" s="1" t="s">
        <v>46</v>
      </c>
      <c r="AL1634" s="1">
        <v>111</v>
      </c>
    </row>
    <row r="1635" spans="1:38" x14ac:dyDescent="0.2">
      <c r="A1635" s="2" t="str">
        <f>HYPERLINK("https://www.compass.com/listing/91-leonard-street-unit-5b-manhattan-ny-10013/841541771909977361/","91 Leonard St, Unit 5B")</f>
        <v>91 Leonard St, Unit 5B</v>
      </c>
      <c r="B1635" s="2" t="str">
        <f t="shared" si="280"/>
        <v>91 Leonard</v>
      </c>
      <c r="C1635" s="1" t="s">
        <v>40</v>
      </c>
      <c r="D1635" s="1" t="s">
        <v>41</v>
      </c>
      <c r="E1635" s="3">
        <v>1585000</v>
      </c>
      <c r="F1635" s="1">
        <v>1819.74741676234</v>
      </c>
      <c r="G1635" s="1">
        <v>2</v>
      </c>
      <c r="H1635" s="1">
        <v>1</v>
      </c>
      <c r="I1635" s="1">
        <v>2</v>
      </c>
      <c r="J1635" s="1">
        <v>1.5</v>
      </c>
      <c r="K1635" s="1">
        <v>1</v>
      </c>
      <c r="L1635" s="1">
        <v>1</v>
      </c>
      <c r="M1635" s="1">
        <v>871</v>
      </c>
      <c r="N1635" s="1">
        <v>1033</v>
      </c>
      <c r="O1635" s="1">
        <v>2611</v>
      </c>
      <c r="P1635" s="1">
        <v>1578</v>
      </c>
      <c r="S1635" s="1" t="s">
        <v>42</v>
      </c>
      <c r="T1635" s="1" t="s">
        <v>203</v>
      </c>
      <c r="U1635" s="1">
        <v>15</v>
      </c>
      <c r="V1635" s="5">
        <v>43784</v>
      </c>
      <c r="W1635" s="5">
        <v>43767</v>
      </c>
      <c r="X1635" s="1">
        <v>1585000</v>
      </c>
      <c r="Y1635" s="1">
        <v>1585000</v>
      </c>
      <c r="AA1635" s="1">
        <v>1585000</v>
      </c>
      <c r="AB1635" s="1" t="s">
        <v>204</v>
      </c>
      <c r="AC1635" s="5">
        <v>43782</v>
      </c>
      <c r="AF1635" s="1">
        <v>10013</v>
      </c>
      <c r="AI1635" s="1" t="s">
        <v>45</v>
      </c>
      <c r="AJ1635" s="1">
        <v>2016</v>
      </c>
      <c r="AK1635" s="1" t="s">
        <v>46</v>
      </c>
      <c r="AL1635" s="1">
        <v>111</v>
      </c>
    </row>
    <row r="1636" spans="1:38" x14ac:dyDescent="0.2">
      <c r="A1636" s="2" t="str">
        <f>HYPERLINK("https://www.compass.com/listing/91-leonard-street-unit-7b-manhattan-ny-10013/841541772320356321/","91 Leonard St, Unit 7B")</f>
        <v>91 Leonard St, Unit 7B</v>
      </c>
      <c r="B1636" s="2" t="str">
        <f t="shared" si="280"/>
        <v>91 Leonard</v>
      </c>
      <c r="C1636" s="1" t="s">
        <v>40</v>
      </c>
      <c r="D1636" s="1" t="s">
        <v>41</v>
      </c>
      <c r="E1636" s="3">
        <v>1637549</v>
      </c>
      <c r="F1636" s="1">
        <v>1880.07921928817</v>
      </c>
      <c r="G1636" s="1">
        <v>3</v>
      </c>
      <c r="H1636" s="1">
        <v>1</v>
      </c>
      <c r="I1636" s="1">
        <v>2</v>
      </c>
      <c r="J1636" s="1">
        <v>1.5</v>
      </c>
      <c r="K1636" s="1">
        <v>1</v>
      </c>
      <c r="L1636" s="1">
        <v>1</v>
      </c>
      <c r="M1636" s="1">
        <v>871</v>
      </c>
      <c r="N1636" s="1">
        <v>1034</v>
      </c>
      <c r="O1636" s="1">
        <v>2631</v>
      </c>
      <c r="P1636" s="1">
        <v>1597</v>
      </c>
      <c r="S1636" s="1" t="s">
        <v>42</v>
      </c>
      <c r="T1636" s="1" t="s">
        <v>203</v>
      </c>
      <c r="U1636" s="1">
        <v>15</v>
      </c>
      <c r="V1636" s="5">
        <v>43784</v>
      </c>
      <c r="W1636" s="5">
        <v>43767</v>
      </c>
      <c r="X1636" s="1">
        <v>1605000</v>
      </c>
      <c r="Y1636" s="1">
        <v>1605000</v>
      </c>
      <c r="AA1636" s="1">
        <v>1637549</v>
      </c>
      <c r="AB1636" s="1" t="s">
        <v>204</v>
      </c>
      <c r="AC1636" s="5">
        <v>43782</v>
      </c>
      <c r="AF1636" s="1">
        <v>10013</v>
      </c>
      <c r="AI1636" s="1" t="s">
        <v>45</v>
      </c>
      <c r="AJ1636" s="1">
        <v>2016</v>
      </c>
      <c r="AK1636" s="1" t="s">
        <v>46</v>
      </c>
      <c r="AL1636" s="1">
        <v>111</v>
      </c>
    </row>
    <row r="1637" spans="1:38" x14ac:dyDescent="0.2">
      <c r="A1637" s="2" t="str">
        <f>HYPERLINK("https://www.compass.com/listing/91-leonard-street-unit-5h-manhattan-ny-10013/841545677528344777/","91 Leonard St, Unit 5H")</f>
        <v>91 Leonard St, Unit 5H</v>
      </c>
      <c r="B1637" s="2" t="str">
        <f t="shared" si="280"/>
        <v>91 Leonard</v>
      </c>
      <c r="C1637" s="1" t="s">
        <v>40</v>
      </c>
      <c r="D1637" s="1" t="s">
        <v>41</v>
      </c>
      <c r="E1637" s="3">
        <v>1420000</v>
      </c>
      <c r="F1637" s="1">
        <v>1536.7965367965301</v>
      </c>
      <c r="H1637" s="1">
        <v>1</v>
      </c>
      <c r="J1637" s="1">
        <v>1.5</v>
      </c>
      <c r="K1637" s="1">
        <v>1</v>
      </c>
      <c r="L1637" s="1">
        <v>1</v>
      </c>
      <c r="M1637" s="1">
        <v>924</v>
      </c>
      <c r="N1637" s="1">
        <v>1088</v>
      </c>
      <c r="O1637" s="1">
        <v>2769</v>
      </c>
      <c r="P1637" s="1">
        <v>1681</v>
      </c>
      <c r="Q1637" s="1" t="s">
        <v>42</v>
      </c>
      <c r="S1637" s="1" t="s">
        <v>42</v>
      </c>
      <c r="T1637" s="1" t="s">
        <v>203</v>
      </c>
      <c r="AA1637" s="1">
        <v>1420000</v>
      </c>
      <c r="AB1637" s="1" t="s">
        <v>1212</v>
      </c>
      <c r="AC1637" s="5">
        <v>43998</v>
      </c>
      <c r="AF1637" s="1">
        <v>10013</v>
      </c>
      <c r="AI1637" s="1" t="s">
        <v>52</v>
      </c>
      <c r="AJ1637" s="1">
        <v>2016</v>
      </c>
      <c r="AK1637" s="1" t="s">
        <v>46</v>
      </c>
      <c r="AL1637" s="1">
        <v>111</v>
      </c>
    </row>
    <row r="1638" spans="1:38" x14ac:dyDescent="0.2">
      <c r="A1638" s="2" t="str">
        <f>HYPERLINK("https://www.compass.com/listing/91-leonard-street-unit-2b-manhattan-ny-10013/613179317104855169/","91 Leonard St, Unit 2B")</f>
        <v>91 Leonard St, Unit 2B</v>
      </c>
      <c r="B1638" s="2" t="str">
        <f t="shared" si="280"/>
        <v>91 Leonard</v>
      </c>
      <c r="C1638" s="1" t="s">
        <v>40</v>
      </c>
      <c r="D1638" s="1" t="s">
        <v>41</v>
      </c>
      <c r="E1638" s="3">
        <v>757500</v>
      </c>
      <c r="F1638" s="1">
        <v>907.18562874251495</v>
      </c>
      <c r="H1638" s="1">
        <v>1</v>
      </c>
      <c r="J1638" s="1">
        <v>1.5</v>
      </c>
      <c r="K1638" s="1">
        <v>1</v>
      </c>
      <c r="L1638" s="1">
        <v>1</v>
      </c>
      <c r="M1638" s="1">
        <v>835</v>
      </c>
      <c r="N1638" s="1">
        <v>989</v>
      </c>
      <c r="O1638" s="1">
        <v>2492</v>
      </c>
      <c r="P1638" s="1">
        <v>1503</v>
      </c>
      <c r="Q1638" s="1" t="s">
        <v>42</v>
      </c>
      <c r="S1638" s="1" t="s">
        <v>42</v>
      </c>
      <c r="T1638" s="1" t="s">
        <v>203</v>
      </c>
      <c r="AA1638" s="1">
        <v>757500</v>
      </c>
      <c r="AB1638" s="1" t="s">
        <v>1213</v>
      </c>
      <c r="AC1638" s="5">
        <v>44091</v>
      </c>
      <c r="AF1638" s="1">
        <v>10013</v>
      </c>
      <c r="AI1638" s="1" t="s">
        <v>52</v>
      </c>
      <c r="AJ1638" s="1">
        <v>2016</v>
      </c>
      <c r="AK1638" s="1" t="s">
        <v>46</v>
      </c>
      <c r="AL1638" s="1">
        <v>111</v>
      </c>
    </row>
    <row r="1639" spans="1:38" x14ac:dyDescent="0.2">
      <c r="A1639" s="2" t="str">
        <f>HYPERLINK("https://www.compass.com/listing/237-east-24th-street-unit-3w-manhattan-ny-10010/247829866391551441/","237 E 24th St, Unit 3W")</f>
        <v>237 E 24th St, Unit 3W</v>
      </c>
      <c r="B1639" s="2" t="str">
        <f>HYPERLINK("https://www.compass.com/building/237-e-24th-st-manhattan-ny-10010/281902461373925173/","237 E 24th St")</f>
        <v>237 E 24th St</v>
      </c>
      <c r="C1639" s="1" t="s">
        <v>1214</v>
      </c>
      <c r="D1639" s="1" t="s">
        <v>41</v>
      </c>
      <c r="E1639" s="3">
        <v>675000</v>
      </c>
      <c r="G1639" s="1">
        <v>3</v>
      </c>
      <c r="H1639" s="1">
        <v>1</v>
      </c>
      <c r="I1639" s="1">
        <v>1</v>
      </c>
      <c r="J1639" s="1">
        <v>1</v>
      </c>
      <c r="K1639" s="1">
        <v>1</v>
      </c>
      <c r="N1639" s="1">
        <v>462</v>
      </c>
      <c r="O1639" s="1">
        <v>1080</v>
      </c>
      <c r="P1639" s="1">
        <v>618</v>
      </c>
      <c r="Q1639" s="1" t="s">
        <v>42</v>
      </c>
      <c r="S1639" s="1" t="s">
        <v>42</v>
      </c>
      <c r="T1639" s="1" t="s">
        <v>203</v>
      </c>
      <c r="U1639" s="1">
        <v>49</v>
      </c>
      <c r="V1639" s="5">
        <v>43742</v>
      </c>
      <c r="W1639" s="5">
        <v>43593</v>
      </c>
      <c r="X1639" s="1">
        <v>685000</v>
      </c>
      <c r="Y1639" s="1">
        <v>685000</v>
      </c>
      <c r="Z1639" s="5">
        <v>43642</v>
      </c>
      <c r="AA1639" s="1">
        <v>675000</v>
      </c>
      <c r="AB1639" s="1" t="s">
        <v>1215</v>
      </c>
      <c r="AC1639" s="5">
        <v>43691</v>
      </c>
      <c r="AF1639" s="1">
        <v>10010</v>
      </c>
      <c r="AI1639" s="1" t="s">
        <v>58</v>
      </c>
      <c r="AJ1639" s="1">
        <v>1900</v>
      </c>
      <c r="AL1639" s="1">
        <v>18</v>
      </c>
    </row>
    <row r="1640" spans="1:38" x14ac:dyDescent="0.2">
      <c r="A1640" s="2" t="str">
        <f>HYPERLINK("https://www.compass.com/listing/550-west-29th-street-unit-7a-manhattan-ny-10001/237048369346846641/","550 W 29th St, Unit 7A")</f>
        <v>550 W 29th St, Unit 7A</v>
      </c>
      <c r="B1640" s="2" t="str">
        <f t="shared" ref="B1640:B1643" si="281">HYPERLINK("https://www.compass.com/building/five-five-zero-manhattan-ny/282059178623665589/","Five Five Zero")</f>
        <v>Five Five Zero</v>
      </c>
      <c r="C1640" s="1" t="s">
        <v>62</v>
      </c>
      <c r="D1640" s="1" t="s">
        <v>41</v>
      </c>
      <c r="E1640" s="3">
        <v>4050000</v>
      </c>
      <c r="F1640" s="1">
        <v>1857.7981651376101</v>
      </c>
      <c r="G1640" s="1">
        <v>5</v>
      </c>
      <c r="H1640" s="1">
        <v>3</v>
      </c>
      <c r="I1640" s="1">
        <v>4</v>
      </c>
      <c r="J1640" s="1">
        <v>3.5</v>
      </c>
      <c r="K1640" s="1">
        <v>3</v>
      </c>
      <c r="L1640" s="1">
        <v>1</v>
      </c>
      <c r="M1640" s="4">
        <v>2180</v>
      </c>
      <c r="N1640" s="1">
        <v>1</v>
      </c>
      <c r="O1640" s="1">
        <v>4354</v>
      </c>
      <c r="P1640" s="1">
        <v>4353</v>
      </c>
      <c r="Q1640" s="1" t="s">
        <v>42</v>
      </c>
      <c r="S1640" s="1" t="s">
        <v>42</v>
      </c>
      <c r="T1640" s="1" t="s">
        <v>203</v>
      </c>
      <c r="V1640" s="5">
        <v>43741</v>
      </c>
      <c r="W1640" s="5">
        <v>43578</v>
      </c>
      <c r="X1640" s="1">
        <v>4450000</v>
      </c>
      <c r="Y1640" s="1">
        <v>4450000</v>
      </c>
      <c r="Z1640" s="5">
        <v>43578</v>
      </c>
      <c r="AA1640" s="1">
        <v>4050000</v>
      </c>
      <c r="AB1640" s="1" t="s">
        <v>1216</v>
      </c>
      <c r="AC1640" s="5">
        <v>43740</v>
      </c>
      <c r="AF1640" s="1">
        <v>10001</v>
      </c>
      <c r="AI1640" s="1" t="s">
        <v>58</v>
      </c>
      <c r="AJ1640" s="1">
        <v>2016</v>
      </c>
      <c r="AK1640" s="1" t="s">
        <v>81</v>
      </c>
      <c r="AL1640" s="1">
        <v>19</v>
      </c>
    </row>
    <row r="1641" spans="1:38" x14ac:dyDescent="0.2">
      <c r="A1641" s="2" t="str">
        <f>HYPERLINK("https://www.compass.com/listing/550-west-29th-street-unit-5b-manhattan-ny-10001/292782462478604977/","550 W 29th St, Unit 5B")</f>
        <v>550 W 29th St, Unit 5B</v>
      </c>
      <c r="B1641" s="2" t="str">
        <f t="shared" si="281"/>
        <v>Five Five Zero</v>
      </c>
      <c r="C1641" s="1" t="s">
        <v>62</v>
      </c>
      <c r="D1641" s="1" t="s">
        <v>41</v>
      </c>
      <c r="E1641" s="3">
        <v>3950000</v>
      </c>
      <c r="F1641" s="1">
        <v>1811.92660550458</v>
      </c>
      <c r="G1641" s="1">
        <v>5</v>
      </c>
      <c r="H1641" s="1">
        <v>3</v>
      </c>
      <c r="I1641" s="1">
        <v>4</v>
      </c>
      <c r="J1641" s="1">
        <v>3.5</v>
      </c>
      <c r="K1641" s="1">
        <v>3</v>
      </c>
      <c r="L1641" s="1">
        <v>1</v>
      </c>
      <c r="M1641" s="4">
        <v>2180</v>
      </c>
      <c r="N1641" s="1">
        <v>1</v>
      </c>
      <c r="O1641" s="1">
        <v>4147</v>
      </c>
      <c r="P1641" s="1">
        <v>4146</v>
      </c>
      <c r="Q1641" s="1" t="s">
        <v>42</v>
      </c>
      <c r="S1641" s="1" t="s">
        <v>42</v>
      </c>
      <c r="T1641" s="1" t="s">
        <v>203</v>
      </c>
      <c r="V1641" s="5">
        <v>43736</v>
      </c>
      <c r="W1641" s="5">
        <v>43655</v>
      </c>
      <c r="X1641" s="1">
        <v>4050000</v>
      </c>
      <c r="Y1641" s="1">
        <v>4050000</v>
      </c>
      <c r="Z1641" s="5">
        <v>43655</v>
      </c>
      <c r="AA1641" s="1">
        <v>3950000</v>
      </c>
      <c r="AB1641" s="1" t="s">
        <v>1217</v>
      </c>
      <c r="AC1641" s="5">
        <v>43735</v>
      </c>
      <c r="AF1641" s="1">
        <v>10001</v>
      </c>
      <c r="AI1641" s="1" t="s">
        <v>58</v>
      </c>
      <c r="AJ1641" s="1">
        <v>2016</v>
      </c>
      <c r="AK1641" s="1" t="s">
        <v>81</v>
      </c>
      <c r="AL1641" s="1">
        <v>19</v>
      </c>
    </row>
    <row r="1642" spans="1:38" x14ac:dyDescent="0.2">
      <c r="A1642" s="2" t="str">
        <f>HYPERLINK("https://www.compass.com/listing/550-west-29th-street-unit-10a-manhattan-ny-10001/178300698344142673/","550 W 29th St, Unit 10A")</f>
        <v>550 W 29th St, Unit 10A</v>
      </c>
      <c r="B1642" s="2" t="str">
        <f t="shared" si="281"/>
        <v>Five Five Zero</v>
      </c>
      <c r="C1642" s="1" t="s">
        <v>62</v>
      </c>
      <c r="D1642" s="1" t="s">
        <v>41</v>
      </c>
      <c r="E1642" s="3">
        <v>3809780</v>
      </c>
      <c r="F1642" s="1">
        <v>1860.24431152343</v>
      </c>
      <c r="G1642" s="1">
        <v>5</v>
      </c>
      <c r="H1642" s="1">
        <v>3</v>
      </c>
      <c r="I1642" s="1">
        <v>3</v>
      </c>
      <c r="J1642" s="1">
        <v>2.5</v>
      </c>
      <c r="K1642" s="1">
        <v>2</v>
      </c>
      <c r="L1642" s="1">
        <v>1</v>
      </c>
      <c r="M1642" s="4">
        <v>2048</v>
      </c>
      <c r="N1642" s="1">
        <v>1</v>
      </c>
      <c r="O1642" s="1">
        <v>4250</v>
      </c>
      <c r="P1642" s="1">
        <v>4249</v>
      </c>
      <c r="Q1642" s="1" t="s">
        <v>42</v>
      </c>
      <c r="S1642" s="1" t="s">
        <v>42</v>
      </c>
      <c r="T1642" s="1" t="s">
        <v>203</v>
      </c>
      <c r="V1642" s="5">
        <v>43749</v>
      </c>
      <c r="W1642" s="5">
        <v>43500</v>
      </c>
      <c r="X1642" s="1">
        <v>4995000</v>
      </c>
      <c r="Y1642" s="1">
        <v>4995000</v>
      </c>
      <c r="Z1642" s="5">
        <v>43500</v>
      </c>
      <c r="AA1642" s="1">
        <v>3809780.35</v>
      </c>
      <c r="AB1642" s="1" t="s">
        <v>1218</v>
      </c>
      <c r="AC1642" s="5">
        <v>43734</v>
      </c>
      <c r="AF1642" s="1">
        <v>10001</v>
      </c>
      <c r="AI1642" s="1" t="s">
        <v>93</v>
      </c>
      <c r="AJ1642" s="1">
        <v>2016</v>
      </c>
      <c r="AK1642" s="1" t="s">
        <v>81</v>
      </c>
      <c r="AL1642" s="1">
        <v>19</v>
      </c>
    </row>
    <row r="1643" spans="1:38" x14ac:dyDescent="0.2">
      <c r="A1643" s="2" t="str">
        <f>HYPERLINK("https://www.compass.com/listing/550-west-29th-street-unit-5c-manhattan-ny-10001/658949362225408953/","550 W 29th St, Unit 5C")</f>
        <v>550 W 29th St, Unit 5C</v>
      </c>
      <c r="B1643" s="2" t="str">
        <f t="shared" si="281"/>
        <v>Five Five Zero</v>
      </c>
      <c r="C1643" s="1" t="s">
        <v>62</v>
      </c>
      <c r="D1643" s="1" t="s">
        <v>41</v>
      </c>
      <c r="E1643" s="3">
        <v>3200000</v>
      </c>
      <c r="F1643" s="1">
        <v>1721.3555675094101</v>
      </c>
      <c r="G1643" s="1">
        <v>5</v>
      </c>
      <c r="H1643" s="1">
        <v>3</v>
      </c>
      <c r="I1643" s="1">
        <v>3</v>
      </c>
      <c r="J1643" s="1">
        <v>3</v>
      </c>
      <c r="K1643" s="1">
        <v>3</v>
      </c>
      <c r="M1643" s="4">
        <v>1859</v>
      </c>
      <c r="N1643" s="1">
        <v>2727</v>
      </c>
      <c r="O1643" s="1">
        <v>6319</v>
      </c>
      <c r="P1643" s="1">
        <v>3592</v>
      </c>
      <c r="Q1643" s="1" t="s">
        <v>42</v>
      </c>
      <c r="S1643" s="1" t="s">
        <v>42</v>
      </c>
      <c r="T1643" s="1" t="s">
        <v>203</v>
      </c>
      <c r="V1643" s="5">
        <v>44400</v>
      </c>
      <c r="W1643" s="5">
        <v>44160</v>
      </c>
      <c r="X1643" s="1">
        <v>3300000</v>
      </c>
      <c r="Y1643" s="1">
        <v>3300000</v>
      </c>
      <c r="Z1643" s="5">
        <v>44160</v>
      </c>
      <c r="AA1643" s="1">
        <v>3200000</v>
      </c>
      <c r="AB1643" s="1" t="s">
        <v>1219</v>
      </c>
      <c r="AC1643" s="5">
        <v>44267</v>
      </c>
      <c r="AF1643" s="1">
        <v>10001</v>
      </c>
      <c r="AI1643" s="1" t="s">
        <v>134</v>
      </c>
      <c r="AJ1643" s="1">
        <v>2016</v>
      </c>
      <c r="AK1643" s="1" t="s">
        <v>81</v>
      </c>
      <c r="AL1643" s="1">
        <v>19</v>
      </c>
    </row>
    <row r="1644" spans="1:38" x14ac:dyDescent="0.2">
      <c r="A1644" s="2" t="str">
        <f>HYPERLINK("https://www.compass.com/listing/91-leonard-street-unit-10e-manhattan-ny-10013/350398794588924465/","91 Leonard St, Unit 10E")</f>
        <v>91 Leonard St, Unit 10E</v>
      </c>
      <c r="B1644" s="2" t="str">
        <f t="shared" ref="B1644:B1654" si="282">HYPERLINK("https://www.compass.com/building/91-leonard-manhattan-ny/282058661633754165/","91 Leonard")</f>
        <v>91 Leonard</v>
      </c>
      <c r="C1644" s="1" t="s">
        <v>40</v>
      </c>
      <c r="D1644" s="1" t="s">
        <v>41</v>
      </c>
      <c r="E1644" s="3">
        <v>1440000</v>
      </c>
      <c r="F1644" s="1">
        <v>2060.0858369098701</v>
      </c>
      <c r="H1644" s="1">
        <v>1</v>
      </c>
      <c r="J1644" s="1">
        <v>1</v>
      </c>
      <c r="K1644" s="1">
        <v>1</v>
      </c>
      <c r="M1644" s="1">
        <v>699</v>
      </c>
      <c r="N1644" s="1">
        <v>829</v>
      </c>
      <c r="O1644" s="1">
        <v>2096</v>
      </c>
      <c r="P1644" s="1">
        <v>1267</v>
      </c>
      <c r="Q1644" s="1" t="s">
        <v>42</v>
      </c>
      <c r="S1644" s="1" t="s">
        <v>42</v>
      </c>
      <c r="T1644" s="1" t="s">
        <v>203</v>
      </c>
      <c r="AA1644" s="1">
        <v>1440000</v>
      </c>
      <c r="AB1644" s="1" t="s">
        <v>1220</v>
      </c>
      <c r="AC1644" s="5">
        <v>43696</v>
      </c>
      <c r="AF1644" s="1">
        <v>10013</v>
      </c>
      <c r="AI1644" s="1" t="s">
        <v>52</v>
      </c>
      <c r="AJ1644" s="1">
        <v>2016</v>
      </c>
      <c r="AK1644" s="1" t="s">
        <v>46</v>
      </c>
      <c r="AL1644" s="1">
        <v>111</v>
      </c>
    </row>
    <row r="1645" spans="1:38" x14ac:dyDescent="0.2">
      <c r="A1645" s="2" t="str">
        <f>HYPERLINK("https://www.compass.com/listing/91-leonard-street-unit-15d-manhattan-ny-10013/384662180155508241/","91 Leonard St, Unit 15D")</f>
        <v>91 Leonard St, Unit 15D</v>
      </c>
      <c r="B1645" s="2" t="str">
        <f t="shared" si="282"/>
        <v>91 Leonard</v>
      </c>
      <c r="C1645" s="1" t="s">
        <v>40</v>
      </c>
      <c r="D1645" s="1" t="s">
        <v>41</v>
      </c>
      <c r="E1645" s="3">
        <v>1364455</v>
      </c>
      <c r="F1645" s="1">
        <v>1952.01001430615</v>
      </c>
      <c r="G1645" s="1">
        <v>3</v>
      </c>
      <c r="H1645" s="1">
        <v>1</v>
      </c>
      <c r="J1645" s="1">
        <v>1</v>
      </c>
      <c r="K1645" s="1">
        <v>1</v>
      </c>
      <c r="M1645" s="1">
        <v>699</v>
      </c>
      <c r="S1645" s="1" t="s">
        <v>42</v>
      </c>
      <c r="T1645" s="1" t="s">
        <v>203</v>
      </c>
      <c r="U1645" s="1">
        <v>26</v>
      </c>
      <c r="V1645" s="5">
        <v>44247</v>
      </c>
      <c r="W1645" s="5">
        <v>43755</v>
      </c>
      <c r="X1645" s="1">
        <v>1515000</v>
      </c>
      <c r="Y1645" s="1">
        <v>1515000</v>
      </c>
      <c r="AA1645" s="1">
        <v>1364455</v>
      </c>
      <c r="AB1645" s="1" t="s">
        <v>204</v>
      </c>
      <c r="AC1645" s="5">
        <v>43782</v>
      </c>
      <c r="AF1645" s="1">
        <v>10013</v>
      </c>
      <c r="AI1645" s="1" t="s">
        <v>45</v>
      </c>
      <c r="AJ1645" s="1">
        <v>2016</v>
      </c>
      <c r="AK1645" s="1" t="s">
        <v>46</v>
      </c>
      <c r="AL1645" s="1">
        <v>111</v>
      </c>
    </row>
    <row r="1646" spans="1:38" x14ac:dyDescent="0.2">
      <c r="A1646" s="2" t="str">
        <f>HYPERLINK("https://www.compass.com/listing/91-leonard-street-unit-11b-manhattan-ny-10013/384673695542210897/","91 Leonard St, Unit 11B")</f>
        <v>91 Leonard St, Unit 11B</v>
      </c>
      <c r="B1646" s="2" t="str">
        <f t="shared" si="282"/>
        <v>91 Leonard</v>
      </c>
      <c r="C1646" s="1" t="s">
        <v>40</v>
      </c>
      <c r="D1646" s="1" t="s">
        <v>41</v>
      </c>
      <c r="E1646" s="3">
        <v>1622275</v>
      </c>
      <c r="F1646" s="1">
        <v>1917.58274231678</v>
      </c>
      <c r="G1646" s="1">
        <v>2</v>
      </c>
      <c r="H1646" s="1">
        <v>1</v>
      </c>
      <c r="J1646" s="1">
        <v>1</v>
      </c>
      <c r="K1646" s="1">
        <v>1</v>
      </c>
      <c r="M1646" s="1">
        <v>846</v>
      </c>
      <c r="S1646" s="1" t="s">
        <v>42</v>
      </c>
      <c r="T1646" s="1" t="s">
        <v>203</v>
      </c>
      <c r="U1646" s="1">
        <v>26</v>
      </c>
      <c r="V1646" s="5">
        <v>44247</v>
      </c>
      <c r="W1646" s="5">
        <v>43755</v>
      </c>
      <c r="X1646" s="1">
        <v>1715000</v>
      </c>
      <c r="Y1646" s="1">
        <v>1715000</v>
      </c>
      <c r="AA1646" s="1">
        <v>1622275</v>
      </c>
      <c r="AB1646" s="1" t="s">
        <v>204</v>
      </c>
      <c r="AC1646" s="5">
        <v>43782</v>
      </c>
      <c r="AF1646" s="1">
        <v>10013</v>
      </c>
      <c r="AI1646" s="1" t="s">
        <v>45</v>
      </c>
      <c r="AJ1646" s="1">
        <v>2016</v>
      </c>
      <c r="AK1646" s="1" t="s">
        <v>46</v>
      </c>
      <c r="AL1646" s="1">
        <v>111</v>
      </c>
    </row>
    <row r="1647" spans="1:38" x14ac:dyDescent="0.2">
      <c r="A1647" s="2" t="str">
        <f>HYPERLINK("https://www.compass.com/listing/91-leonard-street-unit-12e-manhattan-ny-10013/693540792409724625/","91 Leonard St, Unit 12E")</f>
        <v>91 Leonard St, Unit 12E</v>
      </c>
      <c r="B1647" s="2" t="str">
        <f t="shared" si="282"/>
        <v>91 Leonard</v>
      </c>
      <c r="C1647" s="1" t="s">
        <v>40</v>
      </c>
      <c r="D1647" s="1" t="s">
        <v>41</v>
      </c>
      <c r="E1647" s="3">
        <v>1360000</v>
      </c>
      <c r="F1647" s="1">
        <v>1945.63662374821</v>
      </c>
      <c r="H1647" s="1">
        <v>1</v>
      </c>
      <c r="J1647" s="1">
        <v>1</v>
      </c>
      <c r="K1647" s="1">
        <v>1</v>
      </c>
      <c r="M1647" s="1">
        <v>699</v>
      </c>
      <c r="S1647" s="1" t="s">
        <v>42</v>
      </c>
      <c r="T1647" s="1" t="s">
        <v>203</v>
      </c>
      <c r="V1647" s="5">
        <v>44247</v>
      </c>
      <c r="W1647" s="5">
        <v>43845</v>
      </c>
      <c r="X1647" s="1">
        <v>1460000</v>
      </c>
      <c r="AB1647" s="1" t="s">
        <v>204</v>
      </c>
      <c r="AF1647" s="1">
        <v>10013</v>
      </c>
      <c r="AI1647" s="1" t="s">
        <v>45</v>
      </c>
      <c r="AJ1647" s="1">
        <v>2016</v>
      </c>
      <c r="AK1647" s="1" t="s">
        <v>46</v>
      </c>
      <c r="AL1647" s="1">
        <v>111</v>
      </c>
    </row>
    <row r="1648" spans="1:38" x14ac:dyDescent="0.2">
      <c r="A1648" s="2" t="str">
        <f>HYPERLINK("https://www.compass.com/listing/91-leonard-street-unit-12e-manhattan-ny-10013/693540792409724633/","91 Leonard St, Unit 12E")</f>
        <v>91 Leonard St, Unit 12E</v>
      </c>
      <c r="B1648" s="2" t="str">
        <f t="shared" si="282"/>
        <v>91 Leonard</v>
      </c>
      <c r="C1648" s="1" t="s">
        <v>40</v>
      </c>
      <c r="D1648" s="1" t="s">
        <v>41</v>
      </c>
      <c r="E1648" s="3">
        <v>1404437</v>
      </c>
      <c r="F1648" s="1">
        <v>2009.20858369098</v>
      </c>
      <c r="H1648" s="1">
        <v>1</v>
      </c>
      <c r="J1648" s="1">
        <v>1</v>
      </c>
      <c r="K1648" s="1">
        <v>1</v>
      </c>
      <c r="M1648" s="1">
        <v>699</v>
      </c>
      <c r="Q1648" s="1" t="s">
        <v>42</v>
      </c>
      <c r="S1648" s="1" t="s">
        <v>42</v>
      </c>
      <c r="T1648" s="1" t="s">
        <v>203</v>
      </c>
      <c r="AA1648" s="1">
        <v>1404436.8</v>
      </c>
      <c r="AB1648" s="1" t="s">
        <v>1221</v>
      </c>
      <c r="AC1648" s="5">
        <v>43773</v>
      </c>
      <c r="AF1648" s="1">
        <v>10013</v>
      </c>
      <c r="AI1648" s="1" t="s">
        <v>52</v>
      </c>
      <c r="AJ1648" s="1">
        <v>2016</v>
      </c>
      <c r="AK1648" s="1" t="s">
        <v>46</v>
      </c>
      <c r="AL1648" s="1">
        <v>111</v>
      </c>
    </row>
    <row r="1649" spans="1:38" x14ac:dyDescent="0.2">
      <c r="A1649" s="2" t="str">
        <f>HYPERLINK("https://www.compass.com/listing/91-leonard-street-unit-14d-manhattan-ny-10013/693577708853494553/","91 Leonard St, Unit 14D")</f>
        <v>91 Leonard St, Unit 14D</v>
      </c>
      <c r="B1649" s="2" t="str">
        <f t="shared" si="282"/>
        <v>91 Leonard</v>
      </c>
      <c r="C1649" s="1" t="s">
        <v>40</v>
      </c>
      <c r="D1649" s="1" t="s">
        <v>41</v>
      </c>
      <c r="E1649" s="3">
        <v>1330000</v>
      </c>
      <c r="F1649" s="1">
        <v>1902.71816881258</v>
      </c>
      <c r="H1649" s="1">
        <v>1</v>
      </c>
      <c r="J1649" s="1">
        <v>1</v>
      </c>
      <c r="K1649" s="1">
        <v>1</v>
      </c>
      <c r="M1649" s="1">
        <v>699</v>
      </c>
      <c r="S1649" s="1" t="s">
        <v>42</v>
      </c>
      <c r="T1649" s="1" t="s">
        <v>203</v>
      </c>
      <c r="V1649" s="5">
        <v>44247</v>
      </c>
      <c r="W1649" s="5">
        <v>43845</v>
      </c>
      <c r="X1649" s="1">
        <v>1505000</v>
      </c>
      <c r="AB1649" s="1" t="s">
        <v>204</v>
      </c>
      <c r="AF1649" s="1">
        <v>10013</v>
      </c>
      <c r="AI1649" s="1" t="s">
        <v>45</v>
      </c>
      <c r="AJ1649" s="1">
        <v>2016</v>
      </c>
      <c r="AK1649" s="1" t="s">
        <v>46</v>
      </c>
      <c r="AL1649" s="1">
        <v>111</v>
      </c>
    </row>
    <row r="1650" spans="1:38" x14ac:dyDescent="0.2">
      <c r="A1650" s="2" t="str">
        <f>HYPERLINK("https://www.compass.com/listing/91-leonard-street-unit-14d-manhattan-ny-10013/693577708853494561/","91 Leonard St, Unit 14D")</f>
        <v>91 Leonard St, Unit 14D</v>
      </c>
      <c r="B1650" s="2" t="str">
        <f t="shared" si="282"/>
        <v>91 Leonard</v>
      </c>
      <c r="C1650" s="1" t="s">
        <v>40</v>
      </c>
      <c r="D1650" s="1" t="s">
        <v>41</v>
      </c>
      <c r="E1650" s="3">
        <v>1357531</v>
      </c>
      <c r="F1650" s="1">
        <v>1942.10429184549</v>
      </c>
      <c r="H1650" s="1">
        <v>1</v>
      </c>
      <c r="J1650" s="1">
        <v>1</v>
      </c>
      <c r="K1650" s="1">
        <v>1</v>
      </c>
      <c r="M1650" s="1">
        <v>699</v>
      </c>
      <c r="Q1650" s="1" t="s">
        <v>42</v>
      </c>
      <c r="S1650" s="1" t="s">
        <v>42</v>
      </c>
      <c r="T1650" s="1" t="s">
        <v>203</v>
      </c>
      <c r="AA1650" s="1">
        <v>1357530.9</v>
      </c>
      <c r="AB1650" s="1" t="s">
        <v>1222</v>
      </c>
      <c r="AC1650" s="5">
        <v>43776</v>
      </c>
      <c r="AF1650" s="1">
        <v>10013</v>
      </c>
      <c r="AI1650" s="1" t="s">
        <v>52</v>
      </c>
      <c r="AJ1650" s="1">
        <v>2016</v>
      </c>
      <c r="AK1650" s="1" t="s">
        <v>46</v>
      </c>
      <c r="AL1650" s="1">
        <v>111</v>
      </c>
    </row>
    <row r="1651" spans="1:38" x14ac:dyDescent="0.2">
      <c r="A1651" s="2" t="str">
        <f>HYPERLINK("https://www.compass.com/listing/91-leonard-street-unit-12b-manhattan-ny-10013/769297350198548729/","91 Leonard St, Unit 12B")</f>
        <v>91 Leonard St, Unit 12B</v>
      </c>
      <c r="B1651" s="2" t="str">
        <f t="shared" si="282"/>
        <v>91 Leonard</v>
      </c>
      <c r="C1651" s="1" t="s">
        <v>40</v>
      </c>
      <c r="D1651" s="1" t="s">
        <v>41</v>
      </c>
      <c r="E1651" s="3">
        <v>1675000</v>
      </c>
      <c r="F1651" s="1">
        <v>104687.5</v>
      </c>
      <c r="H1651" s="1">
        <v>1</v>
      </c>
      <c r="J1651" s="1">
        <v>1</v>
      </c>
      <c r="K1651" s="1">
        <v>1</v>
      </c>
      <c r="M1651" s="1">
        <v>16</v>
      </c>
      <c r="N1651" s="1">
        <v>1017</v>
      </c>
      <c r="O1651" s="1">
        <v>2571</v>
      </c>
      <c r="P1651" s="1">
        <v>1554</v>
      </c>
      <c r="Q1651" s="1" t="s">
        <v>42</v>
      </c>
      <c r="S1651" s="1" t="s">
        <v>42</v>
      </c>
      <c r="T1651" s="1" t="s">
        <v>203</v>
      </c>
      <c r="AA1651" s="1">
        <v>1675000</v>
      </c>
      <c r="AB1651" s="1" t="s">
        <v>1223</v>
      </c>
      <c r="AC1651" s="5">
        <v>44278</v>
      </c>
      <c r="AF1651" s="1">
        <v>10013</v>
      </c>
      <c r="AI1651" s="1" t="s">
        <v>52</v>
      </c>
      <c r="AJ1651" s="1">
        <v>2016</v>
      </c>
      <c r="AK1651" s="1" t="s">
        <v>46</v>
      </c>
      <c r="AL1651" s="1">
        <v>111</v>
      </c>
    </row>
    <row r="1652" spans="1:38" x14ac:dyDescent="0.2">
      <c r="A1652" s="2" t="str">
        <f>HYPERLINK("https://www.compass.com/listing/91-leonard-street-unit-7f-manhattan-ny-10013/841541754964037441/","91 Leonard St, Unit 7F")</f>
        <v>91 Leonard St, Unit 7F</v>
      </c>
      <c r="B1652" s="2" t="str">
        <f t="shared" si="282"/>
        <v>91 Leonard</v>
      </c>
      <c r="C1652" s="1" t="s">
        <v>40</v>
      </c>
      <c r="D1652" s="1" t="s">
        <v>41</v>
      </c>
      <c r="E1652" s="3">
        <v>1250000</v>
      </c>
      <c r="F1652" s="1">
        <v>1798.56115107913</v>
      </c>
      <c r="G1652" s="1">
        <v>3</v>
      </c>
      <c r="H1652" s="1">
        <v>1</v>
      </c>
      <c r="I1652" s="1">
        <v>1</v>
      </c>
      <c r="J1652" s="1">
        <v>1</v>
      </c>
      <c r="K1652" s="1">
        <v>1</v>
      </c>
      <c r="M1652" s="1">
        <v>695</v>
      </c>
      <c r="N1652" s="1">
        <v>815</v>
      </c>
      <c r="O1652" s="1">
        <v>2074</v>
      </c>
      <c r="P1652" s="1">
        <v>1259</v>
      </c>
      <c r="S1652" s="1" t="s">
        <v>42</v>
      </c>
      <c r="T1652" s="1" t="s">
        <v>203</v>
      </c>
      <c r="U1652" s="1">
        <v>15</v>
      </c>
      <c r="V1652" s="5">
        <v>43784</v>
      </c>
      <c r="W1652" s="5">
        <v>43767</v>
      </c>
      <c r="X1652" s="1">
        <v>1250000</v>
      </c>
      <c r="Y1652" s="1">
        <v>1250000</v>
      </c>
      <c r="AA1652" s="1">
        <v>1250000</v>
      </c>
      <c r="AB1652" s="1" t="s">
        <v>204</v>
      </c>
      <c r="AC1652" s="5">
        <v>43782</v>
      </c>
      <c r="AF1652" s="1">
        <v>10013</v>
      </c>
      <c r="AI1652" s="1" t="s">
        <v>45</v>
      </c>
      <c r="AJ1652" s="1">
        <v>2016</v>
      </c>
      <c r="AK1652" s="1" t="s">
        <v>46</v>
      </c>
      <c r="AL1652" s="1">
        <v>111</v>
      </c>
    </row>
    <row r="1653" spans="1:38" x14ac:dyDescent="0.2">
      <c r="A1653" s="2" t="str">
        <f>HYPERLINK("https://www.compass.com/listing/91-leonard-street-unit-5e-manhattan-ny-10013/841541762464064697/","91 Leonard St, Unit 5E")</f>
        <v>91 Leonard St, Unit 5E</v>
      </c>
      <c r="B1653" s="2" t="str">
        <f t="shared" si="282"/>
        <v>91 Leonard</v>
      </c>
      <c r="C1653" s="1" t="s">
        <v>40</v>
      </c>
      <c r="D1653" s="1" t="s">
        <v>41</v>
      </c>
      <c r="E1653" s="3">
        <v>1413534</v>
      </c>
      <c r="F1653" s="1">
        <v>1581.1342281879099</v>
      </c>
      <c r="G1653" s="1">
        <v>2</v>
      </c>
      <c r="H1653" s="1">
        <v>1</v>
      </c>
      <c r="I1653" s="1">
        <v>1</v>
      </c>
      <c r="J1653" s="1">
        <v>1</v>
      </c>
      <c r="K1653" s="1">
        <v>1</v>
      </c>
      <c r="M1653" s="1">
        <v>894</v>
      </c>
      <c r="N1653" s="1">
        <v>1062</v>
      </c>
      <c r="O1653" s="1">
        <v>2684</v>
      </c>
      <c r="P1653" s="1">
        <v>1622</v>
      </c>
      <c r="S1653" s="1" t="s">
        <v>42</v>
      </c>
      <c r="T1653" s="1" t="s">
        <v>203</v>
      </c>
      <c r="U1653" s="1">
        <v>15</v>
      </c>
      <c r="V1653" s="5">
        <v>43784</v>
      </c>
      <c r="W1653" s="5">
        <v>43767</v>
      </c>
      <c r="X1653" s="1">
        <v>1460000</v>
      </c>
      <c r="Y1653" s="1">
        <v>1460000</v>
      </c>
      <c r="AA1653" s="1">
        <v>1413534</v>
      </c>
      <c r="AB1653" s="1" t="s">
        <v>204</v>
      </c>
      <c r="AC1653" s="5">
        <v>43782</v>
      </c>
      <c r="AF1653" s="1">
        <v>10013</v>
      </c>
      <c r="AI1653" s="1" t="s">
        <v>45</v>
      </c>
      <c r="AJ1653" s="1">
        <v>2016</v>
      </c>
      <c r="AK1653" s="1" t="s">
        <v>46</v>
      </c>
      <c r="AL1653" s="1">
        <v>111</v>
      </c>
    </row>
    <row r="1654" spans="1:38" x14ac:dyDescent="0.2">
      <c r="A1654" s="2" t="str">
        <f>HYPERLINK("https://www.compass.com/listing/91-leonard-street-unit-9e-manhattan-ny-10013/841570450262276505/","91 Leonard St, Unit 9E")</f>
        <v>91 Leonard St, Unit 9E</v>
      </c>
      <c r="B1654" s="2" t="str">
        <f t="shared" si="282"/>
        <v>91 Leonard</v>
      </c>
      <c r="C1654" s="1" t="s">
        <v>40</v>
      </c>
      <c r="D1654" s="1" t="s">
        <v>41</v>
      </c>
      <c r="E1654" s="3">
        <v>1380000</v>
      </c>
      <c r="F1654" s="1">
        <v>1974.24892703862</v>
      </c>
      <c r="H1654" s="1">
        <v>1</v>
      </c>
      <c r="J1654" s="1">
        <v>1</v>
      </c>
      <c r="K1654" s="1">
        <v>1</v>
      </c>
      <c r="M1654" s="1">
        <v>699</v>
      </c>
      <c r="S1654" s="1" t="s">
        <v>42</v>
      </c>
      <c r="T1654" s="1" t="s">
        <v>203</v>
      </c>
      <c r="V1654" s="5">
        <v>44414</v>
      </c>
      <c r="W1654" s="5">
        <v>43846</v>
      </c>
      <c r="X1654" s="1">
        <v>1380000</v>
      </c>
      <c r="AB1654" s="1" t="s">
        <v>204</v>
      </c>
      <c r="AF1654" s="1">
        <v>10013</v>
      </c>
      <c r="AI1654" s="1" t="s">
        <v>45</v>
      </c>
      <c r="AJ1654" s="1">
        <v>2016</v>
      </c>
      <c r="AK1654" s="1" t="s">
        <v>121</v>
      </c>
      <c r="AL1654" s="1">
        <v>111</v>
      </c>
    </row>
    <row r="1655" spans="1:38" x14ac:dyDescent="0.2">
      <c r="A1655" s="2" t="str">
        <f>HYPERLINK("https://www.compass.com/listing/231-west-26th-street-unit-3-manhattan-ny-10001/29509710017261649/","231 W 26th St, Unit 3")</f>
        <v>231 W 26th St, Unit 3</v>
      </c>
      <c r="B1655" s="2" t="str">
        <f>HYPERLINK("https://www.compass.com/building/231-w-26th-st-manhattan-ny-10001/281882863094203013/","231 W 26th St")</f>
        <v>231 W 26th St</v>
      </c>
      <c r="C1655" s="1" t="s">
        <v>62</v>
      </c>
      <c r="D1655" s="1" t="s">
        <v>41</v>
      </c>
      <c r="E1655" s="3">
        <v>2625113</v>
      </c>
      <c r="F1655" s="1">
        <v>1871.07127583749</v>
      </c>
      <c r="G1655" s="1">
        <v>5</v>
      </c>
      <c r="H1655" s="1">
        <v>2</v>
      </c>
      <c r="I1655" s="1">
        <v>2</v>
      </c>
      <c r="J1655" s="1">
        <v>2</v>
      </c>
      <c r="K1655" s="1">
        <v>2</v>
      </c>
      <c r="M1655" s="4">
        <v>1403</v>
      </c>
      <c r="N1655" s="1">
        <v>1216</v>
      </c>
      <c r="O1655" s="1">
        <v>2926</v>
      </c>
      <c r="P1655" s="1">
        <v>1710</v>
      </c>
      <c r="Q1655" s="1" t="s">
        <v>42</v>
      </c>
      <c r="S1655" s="1" t="s">
        <v>42</v>
      </c>
      <c r="T1655" s="1" t="s">
        <v>203</v>
      </c>
      <c r="U1655" s="1">
        <v>198</v>
      </c>
      <c r="V1655" s="5">
        <v>43648</v>
      </c>
      <c r="W1655" s="5">
        <v>43018</v>
      </c>
      <c r="X1655" s="1">
        <v>2850000</v>
      </c>
      <c r="Y1655" s="1">
        <v>2850000</v>
      </c>
      <c r="Z1655" s="5">
        <v>43216</v>
      </c>
      <c r="AA1655" s="1">
        <v>2625113</v>
      </c>
      <c r="AB1655" s="1" t="s">
        <v>1224</v>
      </c>
      <c r="AC1655" s="5">
        <v>43434</v>
      </c>
      <c r="AF1655" s="1">
        <v>10001</v>
      </c>
      <c r="AI1655" s="1" t="s">
        <v>614</v>
      </c>
      <c r="AJ1655" s="1">
        <v>2017</v>
      </c>
      <c r="AL1655" s="1">
        <v>7</v>
      </c>
    </row>
    <row r="1656" spans="1:38" x14ac:dyDescent="0.2">
      <c r="A1656" s="2" t="str">
        <f>HYPERLINK("https://www.compass.com/listing/550-west-29th-street-unit-gardena-manhattan-ny-10001/249197450617693873/","550 W 29th St, Unit GARDENA")</f>
        <v>550 W 29th St, Unit GARDENA</v>
      </c>
      <c r="B1656" s="2" t="str">
        <f>HYPERLINK("https://www.compass.com/building/five-five-zero-manhattan-ny/282059178623665589/","Five Five Zero")</f>
        <v>Five Five Zero</v>
      </c>
      <c r="C1656" s="1" t="s">
        <v>62</v>
      </c>
      <c r="D1656" s="1" t="s">
        <v>41</v>
      </c>
      <c r="E1656" s="3">
        <v>4000000</v>
      </c>
      <c r="F1656" s="1">
        <v>1760.5633802816899</v>
      </c>
      <c r="G1656" s="1">
        <v>5</v>
      </c>
      <c r="H1656" s="1">
        <v>3</v>
      </c>
      <c r="I1656" s="1">
        <v>4</v>
      </c>
      <c r="J1656" s="1">
        <v>3.5</v>
      </c>
      <c r="K1656" s="1">
        <v>3</v>
      </c>
      <c r="L1656" s="1">
        <v>1</v>
      </c>
      <c r="M1656" s="4">
        <v>2272</v>
      </c>
      <c r="N1656" s="1">
        <v>1</v>
      </c>
      <c r="O1656" s="1">
        <v>4248</v>
      </c>
      <c r="P1656" s="1">
        <v>4247</v>
      </c>
      <c r="Q1656" s="1" t="s">
        <v>42</v>
      </c>
      <c r="S1656" s="1" t="s">
        <v>42</v>
      </c>
      <c r="T1656" s="1" t="s">
        <v>203</v>
      </c>
      <c r="U1656" s="1">
        <v>179</v>
      </c>
      <c r="V1656" s="5">
        <v>43846</v>
      </c>
      <c r="W1656" s="5">
        <v>43596</v>
      </c>
      <c r="X1656" s="1">
        <v>4000000</v>
      </c>
      <c r="Y1656" s="1">
        <v>4000000</v>
      </c>
      <c r="Z1656" s="5">
        <v>43775</v>
      </c>
      <c r="AA1656" s="1">
        <v>4000000</v>
      </c>
      <c r="AB1656" s="1" t="s">
        <v>204</v>
      </c>
      <c r="AC1656" s="5">
        <v>43812</v>
      </c>
      <c r="AF1656" s="1">
        <v>10001</v>
      </c>
      <c r="AI1656" s="1" t="s">
        <v>141</v>
      </c>
      <c r="AJ1656" s="1">
        <v>2016</v>
      </c>
      <c r="AK1656" s="1" t="s">
        <v>81</v>
      </c>
      <c r="AL1656" s="1">
        <v>19</v>
      </c>
    </row>
    <row r="1657" spans="1:38" x14ac:dyDescent="0.2">
      <c r="A1657" s="2" t="str">
        <f>HYPERLINK("https://www.compass.com/listing/237-east-24th-street-unit-1w-manhattan-ny-10010/343035321201511761/","237 E 24th St, Unit 1W")</f>
        <v>237 E 24th St, Unit 1W</v>
      </c>
      <c r="B1657" s="2" t="str">
        <f>HYPERLINK("https://www.compass.com/building/237-e-24th-st-manhattan-ny-10010/281902461373925173/","237 E 24th St")</f>
        <v>237 E 24th St</v>
      </c>
      <c r="C1657" s="1" t="s">
        <v>1214</v>
      </c>
      <c r="D1657" s="1" t="s">
        <v>41</v>
      </c>
      <c r="E1657" s="3">
        <v>770000</v>
      </c>
      <c r="F1657" s="1">
        <v>929.95169082125597</v>
      </c>
      <c r="G1657" s="1">
        <v>4</v>
      </c>
      <c r="H1657" s="1">
        <v>2</v>
      </c>
      <c r="I1657" s="1">
        <v>2</v>
      </c>
      <c r="J1657" s="1">
        <v>1.5</v>
      </c>
      <c r="M1657" s="1">
        <v>828</v>
      </c>
      <c r="N1657" s="1">
        <v>523</v>
      </c>
      <c r="O1657" s="1">
        <v>1128</v>
      </c>
      <c r="P1657" s="1">
        <v>605</v>
      </c>
      <c r="Q1657" s="1" t="s">
        <v>42</v>
      </c>
      <c r="S1657" s="1" t="s">
        <v>42</v>
      </c>
      <c r="T1657" s="1" t="s">
        <v>203</v>
      </c>
      <c r="U1657" s="1">
        <v>129</v>
      </c>
      <c r="V1657" s="5">
        <v>43882</v>
      </c>
      <c r="W1657" s="5">
        <v>43748</v>
      </c>
      <c r="X1657" s="1">
        <v>845000</v>
      </c>
      <c r="Y1657" s="1">
        <v>799000</v>
      </c>
      <c r="AA1657" s="1">
        <v>770000</v>
      </c>
      <c r="AB1657" s="1" t="s">
        <v>1225</v>
      </c>
      <c r="AC1657" s="5">
        <v>43986</v>
      </c>
      <c r="AF1657" s="1">
        <v>10010</v>
      </c>
      <c r="AI1657" s="1" t="s">
        <v>58</v>
      </c>
      <c r="AJ1657" s="1">
        <v>1900</v>
      </c>
      <c r="AL1657" s="1">
        <v>18</v>
      </c>
    </row>
    <row r="1658" spans="1:38" x14ac:dyDescent="0.2">
      <c r="A1658" s="2" t="str">
        <f>HYPERLINK("https://www.compass.com/listing/231-west-26th-street-unit-5-manhattan-ny-10001/80146509319974289/","231 W 26th St, Unit 5")</f>
        <v>231 W 26th St, Unit 5</v>
      </c>
      <c r="B1658" s="2" t="str">
        <f>HYPERLINK("https://www.compass.com/building/231-w-26th-st-manhattan-ny-10001/281882863094203013/","231 W 26th St")</f>
        <v>231 W 26th St</v>
      </c>
      <c r="C1658" s="1" t="s">
        <v>62</v>
      </c>
      <c r="D1658" s="1" t="s">
        <v>41</v>
      </c>
      <c r="E1658" s="3">
        <v>2304589</v>
      </c>
      <c r="F1658" s="1">
        <v>1642.6151104775399</v>
      </c>
      <c r="G1658" s="1">
        <v>4</v>
      </c>
      <c r="H1658" s="1">
        <v>2</v>
      </c>
      <c r="I1658" s="1">
        <v>2</v>
      </c>
      <c r="J1658" s="1">
        <v>2</v>
      </c>
      <c r="M1658" s="4">
        <v>1403</v>
      </c>
      <c r="N1658" s="1">
        <v>1149</v>
      </c>
      <c r="O1658" s="1">
        <v>2764</v>
      </c>
      <c r="P1658" s="1">
        <v>1615</v>
      </c>
      <c r="Q1658" s="1" t="s">
        <v>42</v>
      </c>
      <c r="S1658" s="1" t="s">
        <v>42</v>
      </c>
      <c r="T1658" s="1" t="s">
        <v>203</v>
      </c>
      <c r="U1658" s="1">
        <v>253</v>
      </c>
      <c r="V1658" s="5">
        <v>43648</v>
      </c>
      <c r="W1658" s="5">
        <v>43131</v>
      </c>
      <c r="X1658" s="1">
        <v>2675000</v>
      </c>
      <c r="Y1658" s="1">
        <v>2395000</v>
      </c>
      <c r="Z1658" s="5">
        <v>43384</v>
      </c>
      <c r="AA1658" s="1">
        <v>2304589</v>
      </c>
      <c r="AB1658" s="1" t="s">
        <v>1226</v>
      </c>
      <c r="AC1658" s="5">
        <v>43424</v>
      </c>
      <c r="AF1658" s="1">
        <v>10001</v>
      </c>
      <c r="AI1658" s="1" t="s">
        <v>1227</v>
      </c>
      <c r="AJ1658" s="1">
        <v>2017</v>
      </c>
      <c r="AL1658" s="1">
        <v>7</v>
      </c>
    </row>
    <row r="1659" spans="1:38" x14ac:dyDescent="0.2">
      <c r="A1659" s="2" t="str">
        <f>HYPERLINK("https://www.compass.com/listing/91-leonard-street-unit-3b-manhattan-ny-10013/706344859743819321/","91 Leonard St, Unit 3B")</f>
        <v>91 Leonard St, Unit 3B</v>
      </c>
      <c r="B1659" s="2" t="str">
        <f t="shared" ref="B1659:B1670" si="283">HYPERLINK("https://www.compass.com/building/91-leonard-manhattan-ny/282058661633754165/","91 Leonard")</f>
        <v>91 Leonard</v>
      </c>
      <c r="C1659" s="1" t="s">
        <v>40</v>
      </c>
      <c r="D1659" s="1" t="s">
        <v>41</v>
      </c>
      <c r="E1659" s="3">
        <v>395800</v>
      </c>
      <c r="F1659" s="1">
        <v>467.848699763593</v>
      </c>
      <c r="H1659" s="1">
        <v>1</v>
      </c>
      <c r="J1659" s="1">
        <v>1.5</v>
      </c>
      <c r="K1659" s="1">
        <v>1</v>
      </c>
      <c r="L1659" s="1">
        <v>1</v>
      </c>
      <c r="M1659" s="1">
        <v>846</v>
      </c>
      <c r="N1659" s="1">
        <v>997</v>
      </c>
      <c r="O1659" s="1">
        <v>2520</v>
      </c>
      <c r="P1659" s="1">
        <v>1523</v>
      </c>
      <c r="Q1659" s="1" t="s">
        <v>42</v>
      </c>
      <c r="S1659" s="1" t="s">
        <v>42</v>
      </c>
      <c r="T1659" s="1" t="s">
        <v>203</v>
      </c>
      <c r="AA1659" s="1">
        <v>395800</v>
      </c>
      <c r="AB1659" s="1" t="s">
        <v>1228</v>
      </c>
      <c r="AC1659" s="5">
        <v>44193</v>
      </c>
      <c r="AF1659" s="1">
        <v>10013</v>
      </c>
      <c r="AI1659" s="1" t="s">
        <v>52</v>
      </c>
      <c r="AJ1659" s="1">
        <v>2016</v>
      </c>
      <c r="AK1659" s="1" t="s">
        <v>46</v>
      </c>
      <c r="AL1659" s="1">
        <v>111</v>
      </c>
    </row>
    <row r="1660" spans="1:38" x14ac:dyDescent="0.2">
      <c r="A1660" s="2" t="str">
        <f>HYPERLINK("https://www.compass.com/listing/91-leonard-street-unit-13d-manhattan-ny-10013/384662169752296097/","91 Leonard St, Unit 13D")</f>
        <v>91 Leonard St, Unit 13D</v>
      </c>
      <c r="B1660" s="2" t="str">
        <f t="shared" si="283"/>
        <v>91 Leonard</v>
      </c>
      <c r="C1660" s="1" t="s">
        <v>40</v>
      </c>
      <c r="D1660" s="1" t="s">
        <v>41</v>
      </c>
      <c r="E1660" s="3">
        <v>997885</v>
      </c>
      <c r="F1660" s="1">
        <v>1945.1949317738699</v>
      </c>
      <c r="H1660" s="1" t="s">
        <v>69</v>
      </c>
      <c r="I1660" s="1">
        <v>1</v>
      </c>
      <c r="J1660" s="1">
        <v>1</v>
      </c>
      <c r="K1660" s="1">
        <v>1</v>
      </c>
      <c r="M1660" s="1">
        <v>513</v>
      </c>
      <c r="S1660" s="1" t="s">
        <v>42</v>
      </c>
      <c r="T1660" s="1" t="s">
        <v>203</v>
      </c>
      <c r="U1660" s="1">
        <v>7</v>
      </c>
      <c r="V1660" s="5">
        <v>44247</v>
      </c>
      <c r="W1660" s="5">
        <v>43774</v>
      </c>
      <c r="X1660" s="1">
        <v>985000</v>
      </c>
      <c r="Y1660" s="1">
        <v>985000</v>
      </c>
      <c r="AA1660" s="1">
        <v>997885</v>
      </c>
      <c r="AB1660" s="1" t="s">
        <v>204</v>
      </c>
      <c r="AC1660" s="5">
        <v>43782</v>
      </c>
      <c r="AF1660" s="1">
        <v>10013</v>
      </c>
      <c r="AI1660" s="1" t="s">
        <v>45</v>
      </c>
      <c r="AJ1660" s="1">
        <v>2016</v>
      </c>
      <c r="AK1660" s="1" t="s">
        <v>46</v>
      </c>
      <c r="AL1660" s="1">
        <v>111</v>
      </c>
    </row>
    <row r="1661" spans="1:38" x14ac:dyDescent="0.2">
      <c r="A1661" s="2" t="str">
        <f>HYPERLINK("https://www.compass.com/listing/91-leonard-street-unit-10d-manhattan-ny-10013/841462150286812649/","91 Leonard St, Unit 10D")</f>
        <v>91 Leonard St, Unit 10D</v>
      </c>
      <c r="B1661" s="2" t="str">
        <f t="shared" si="283"/>
        <v>91 Leonard</v>
      </c>
      <c r="C1661" s="1" t="s">
        <v>40</v>
      </c>
      <c r="D1661" s="1" t="s">
        <v>41</v>
      </c>
      <c r="E1661" s="3">
        <v>955000</v>
      </c>
      <c r="F1661" s="1">
        <v>1861.5984405458</v>
      </c>
      <c r="H1661" s="1" t="s">
        <v>77</v>
      </c>
      <c r="J1661" s="1">
        <v>1</v>
      </c>
      <c r="K1661" s="1">
        <v>1</v>
      </c>
      <c r="M1661" s="1">
        <v>513</v>
      </c>
      <c r="N1661" s="1">
        <v>598</v>
      </c>
      <c r="O1661" s="1">
        <v>1512</v>
      </c>
      <c r="P1661" s="1">
        <v>914</v>
      </c>
      <c r="Q1661" s="1" t="s">
        <v>42</v>
      </c>
      <c r="S1661" s="1" t="s">
        <v>42</v>
      </c>
      <c r="T1661" s="1" t="s">
        <v>203</v>
      </c>
      <c r="AA1661" s="1">
        <v>955000</v>
      </c>
      <c r="AB1661" s="1" t="s">
        <v>1229</v>
      </c>
      <c r="AC1661" s="5">
        <v>43754</v>
      </c>
      <c r="AF1661" s="1">
        <v>10013</v>
      </c>
      <c r="AI1661" s="1" t="s">
        <v>52</v>
      </c>
      <c r="AJ1661" s="1">
        <v>2016</v>
      </c>
      <c r="AK1661" s="1" t="s">
        <v>46</v>
      </c>
      <c r="AL1661" s="1">
        <v>111</v>
      </c>
    </row>
    <row r="1662" spans="1:38" x14ac:dyDescent="0.2">
      <c r="A1662" s="2" t="str">
        <f>HYPERLINK("https://www.compass.com/listing/91-leonard-street-unit-15c-manhattan-ny-10013/841541763404042185/","91 Leonard St, Unit 15C")</f>
        <v>91 Leonard St, Unit 15C</v>
      </c>
      <c r="B1662" s="2" t="str">
        <f t="shared" si="283"/>
        <v>91 Leonard</v>
      </c>
      <c r="C1662" s="1" t="s">
        <v>40</v>
      </c>
      <c r="D1662" s="1" t="s">
        <v>41</v>
      </c>
      <c r="E1662" s="3">
        <v>1005000</v>
      </c>
      <c r="F1662" s="1">
        <v>2102.5104602510401</v>
      </c>
      <c r="H1662" s="1" t="s">
        <v>69</v>
      </c>
      <c r="I1662" s="1">
        <v>1</v>
      </c>
      <c r="J1662" s="1">
        <v>1</v>
      </c>
      <c r="K1662" s="1">
        <v>1</v>
      </c>
      <c r="M1662" s="1">
        <v>478</v>
      </c>
      <c r="S1662" s="1" t="s">
        <v>42</v>
      </c>
      <c r="T1662" s="1" t="s">
        <v>203</v>
      </c>
      <c r="U1662" s="1">
        <v>7</v>
      </c>
      <c r="V1662" s="5">
        <v>43784</v>
      </c>
      <c r="W1662" s="5">
        <v>43774</v>
      </c>
      <c r="X1662" s="1">
        <v>1005000</v>
      </c>
      <c r="Y1662" s="1">
        <v>1005000</v>
      </c>
      <c r="AA1662" s="1">
        <v>1005000</v>
      </c>
      <c r="AB1662" s="1" t="s">
        <v>204</v>
      </c>
      <c r="AC1662" s="5">
        <v>43782</v>
      </c>
      <c r="AF1662" s="1">
        <v>10013</v>
      </c>
      <c r="AI1662" s="1" t="s">
        <v>45</v>
      </c>
      <c r="AJ1662" s="1">
        <v>2016</v>
      </c>
      <c r="AK1662" s="1" t="s">
        <v>46</v>
      </c>
      <c r="AL1662" s="1">
        <v>111</v>
      </c>
    </row>
    <row r="1663" spans="1:38" x14ac:dyDescent="0.2">
      <c r="A1663" s="2" t="str">
        <f>HYPERLINK("https://www.compass.com/listing/91-leonard-street-unit-9d-manhattan-ny-10013/384642319236977377/","91 Leonard St, Unit 9D")</f>
        <v>91 Leonard St, Unit 9D</v>
      </c>
      <c r="B1663" s="2" t="str">
        <f t="shared" si="283"/>
        <v>91 Leonard</v>
      </c>
      <c r="C1663" s="1" t="s">
        <v>40</v>
      </c>
      <c r="D1663" s="1" t="s">
        <v>41</v>
      </c>
      <c r="E1663" s="3">
        <v>848813</v>
      </c>
      <c r="F1663" s="1">
        <v>1654.6062378167601</v>
      </c>
      <c r="G1663" s="1">
        <v>2</v>
      </c>
      <c r="H1663" s="1" t="s">
        <v>77</v>
      </c>
      <c r="J1663" s="1">
        <v>1</v>
      </c>
      <c r="K1663" s="1">
        <v>1</v>
      </c>
      <c r="M1663" s="1">
        <v>513</v>
      </c>
      <c r="S1663" s="1" t="s">
        <v>42</v>
      </c>
      <c r="T1663" s="1" t="s">
        <v>203</v>
      </c>
      <c r="U1663" s="1">
        <v>26</v>
      </c>
      <c r="V1663" s="5">
        <v>44247</v>
      </c>
      <c r="W1663" s="5">
        <v>43755</v>
      </c>
      <c r="X1663" s="1">
        <v>925000</v>
      </c>
      <c r="Y1663" s="1">
        <v>925000</v>
      </c>
      <c r="AA1663" s="1">
        <v>848813</v>
      </c>
      <c r="AB1663" s="1" t="s">
        <v>204</v>
      </c>
      <c r="AC1663" s="5">
        <v>43782</v>
      </c>
      <c r="AF1663" s="1">
        <v>10013</v>
      </c>
      <c r="AI1663" s="1" t="s">
        <v>45</v>
      </c>
      <c r="AJ1663" s="1">
        <v>2016</v>
      </c>
      <c r="AK1663" s="1" t="s">
        <v>46</v>
      </c>
      <c r="AL1663" s="1">
        <v>111</v>
      </c>
    </row>
    <row r="1664" spans="1:38" x14ac:dyDescent="0.2">
      <c r="A1664" s="2" t="str">
        <f>HYPERLINK("https://www.compass.com/listing/91-leonard-street-unit-3f-manhattan-ny-10013/384673688258760753/","91 Leonard St, Unit 3F")</f>
        <v>91 Leonard St, Unit 3F</v>
      </c>
      <c r="B1664" s="2" t="str">
        <f t="shared" si="283"/>
        <v>91 Leonard</v>
      </c>
      <c r="C1664" s="1" t="s">
        <v>40</v>
      </c>
      <c r="D1664" s="1" t="s">
        <v>41</v>
      </c>
      <c r="E1664" s="3">
        <v>869992</v>
      </c>
      <c r="F1664" s="1">
        <v>1469.5810810810799</v>
      </c>
      <c r="G1664" s="1">
        <v>1</v>
      </c>
      <c r="H1664" s="1" t="s">
        <v>77</v>
      </c>
      <c r="J1664" s="1">
        <v>1</v>
      </c>
      <c r="K1664" s="1">
        <v>1</v>
      </c>
      <c r="M1664" s="1">
        <v>592</v>
      </c>
      <c r="S1664" s="1" t="s">
        <v>42</v>
      </c>
      <c r="T1664" s="1" t="s">
        <v>203</v>
      </c>
      <c r="U1664" s="1">
        <v>26</v>
      </c>
      <c r="V1664" s="5">
        <v>44247</v>
      </c>
      <c r="W1664" s="5">
        <v>43755</v>
      </c>
      <c r="X1664" s="1">
        <v>990000</v>
      </c>
      <c r="Y1664" s="1">
        <v>990000</v>
      </c>
      <c r="AA1664" s="1">
        <v>869992</v>
      </c>
      <c r="AB1664" s="1" t="s">
        <v>204</v>
      </c>
      <c r="AC1664" s="5">
        <v>43782</v>
      </c>
      <c r="AF1664" s="1">
        <v>10013</v>
      </c>
      <c r="AI1664" s="1" t="s">
        <v>45</v>
      </c>
      <c r="AJ1664" s="1">
        <v>2016</v>
      </c>
      <c r="AK1664" s="1" t="s">
        <v>46</v>
      </c>
      <c r="AL1664" s="1">
        <v>111</v>
      </c>
    </row>
    <row r="1665" spans="1:38" x14ac:dyDescent="0.2">
      <c r="A1665" s="2" t="str">
        <f>HYPERLINK("https://www.compass.com/listing/91-leonard-street-unit-8d-manhattan-ny-10013/384676225185064977/","91 Leonard St, Unit 8D")</f>
        <v>91 Leonard St, Unit 8D</v>
      </c>
      <c r="B1665" s="2" t="str">
        <f t="shared" si="283"/>
        <v>91 Leonard</v>
      </c>
      <c r="C1665" s="1" t="s">
        <v>40</v>
      </c>
      <c r="D1665" s="1" t="s">
        <v>41</v>
      </c>
      <c r="E1665" s="3">
        <v>839038</v>
      </c>
      <c r="H1665" s="1" t="s">
        <v>77</v>
      </c>
      <c r="J1665" s="1">
        <v>1</v>
      </c>
      <c r="S1665" s="1" t="s">
        <v>42</v>
      </c>
      <c r="T1665" s="1" t="s">
        <v>203</v>
      </c>
      <c r="U1665" s="1">
        <v>5</v>
      </c>
      <c r="V1665" s="5">
        <v>44247</v>
      </c>
      <c r="W1665" s="5">
        <v>43776</v>
      </c>
      <c r="X1665" s="1">
        <v>915000</v>
      </c>
      <c r="Y1665" s="1">
        <v>915000</v>
      </c>
      <c r="AA1665" s="1">
        <v>839038</v>
      </c>
      <c r="AB1665" s="1" t="s">
        <v>204</v>
      </c>
      <c r="AC1665" s="5">
        <v>43782</v>
      </c>
      <c r="AF1665" s="1">
        <v>10013</v>
      </c>
      <c r="AI1665" s="1" t="s">
        <v>45</v>
      </c>
      <c r="AJ1665" s="1">
        <v>2016</v>
      </c>
      <c r="AK1665" s="1" t="s">
        <v>46</v>
      </c>
      <c r="AL1665" s="1">
        <v>111</v>
      </c>
    </row>
    <row r="1666" spans="1:38" x14ac:dyDescent="0.2">
      <c r="A1666" s="2" t="str">
        <f>HYPERLINK("https://www.compass.com/listing/91-leonard-street-unit-7d-manhattan-ny-10013/682541354840258313/","91 Leonard St, Unit 7D")</f>
        <v>91 Leonard St, Unit 7D</v>
      </c>
      <c r="B1666" s="2" t="str">
        <f t="shared" si="283"/>
        <v>91 Leonard</v>
      </c>
      <c r="C1666" s="1" t="s">
        <v>40</v>
      </c>
      <c r="D1666" s="1" t="s">
        <v>41</v>
      </c>
      <c r="E1666" s="3">
        <v>829262</v>
      </c>
      <c r="F1666" s="1">
        <v>1619.65234375</v>
      </c>
      <c r="H1666" s="1" t="s">
        <v>77</v>
      </c>
      <c r="J1666" s="1">
        <v>1</v>
      </c>
      <c r="K1666" s="1">
        <v>1</v>
      </c>
      <c r="M1666" s="1">
        <v>512</v>
      </c>
      <c r="S1666" s="1" t="s">
        <v>42</v>
      </c>
      <c r="T1666" s="1" t="s">
        <v>203</v>
      </c>
      <c r="V1666" s="5">
        <v>44250</v>
      </c>
      <c r="W1666" s="5">
        <v>43783</v>
      </c>
      <c r="X1666" s="1">
        <v>885000</v>
      </c>
      <c r="AB1666" s="1" t="s">
        <v>204</v>
      </c>
      <c r="AF1666" s="1">
        <v>10013</v>
      </c>
      <c r="AI1666" s="1" t="s">
        <v>45</v>
      </c>
      <c r="AJ1666" s="1">
        <v>2016</v>
      </c>
      <c r="AK1666" s="1" t="s">
        <v>46</v>
      </c>
      <c r="AL1666" s="1">
        <v>111</v>
      </c>
    </row>
    <row r="1667" spans="1:38" x14ac:dyDescent="0.2">
      <c r="A1667" s="2" t="str">
        <f>HYPERLINK("https://www.compass.com/listing/91-leonard-street-unit-7d-manhattan-ny-10013/682541354848646929/","91 Leonard St, Unit 7D")</f>
        <v>91 Leonard St, Unit 7D</v>
      </c>
      <c r="B1667" s="2" t="str">
        <f t="shared" si="283"/>
        <v>91 Leonard</v>
      </c>
      <c r="C1667" s="1" t="s">
        <v>40</v>
      </c>
      <c r="D1667" s="1" t="s">
        <v>41</v>
      </c>
      <c r="E1667" s="3">
        <v>829263</v>
      </c>
      <c r="F1667" s="1">
        <v>1619.6539062500001</v>
      </c>
      <c r="H1667" s="1" t="s">
        <v>77</v>
      </c>
      <c r="J1667" s="1">
        <v>1</v>
      </c>
      <c r="K1667" s="1">
        <v>1</v>
      </c>
      <c r="M1667" s="1">
        <v>512</v>
      </c>
      <c r="Q1667" s="1" t="s">
        <v>42</v>
      </c>
      <c r="S1667" s="1" t="s">
        <v>42</v>
      </c>
      <c r="T1667" s="1" t="s">
        <v>203</v>
      </c>
      <c r="AA1667" s="1">
        <v>829262.8</v>
      </c>
      <c r="AB1667" s="1" t="s">
        <v>1230</v>
      </c>
      <c r="AC1667" s="5">
        <v>43749</v>
      </c>
      <c r="AF1667" s="1">
        <v>10013</v>
      </c>
      <c r="AI1667" s="1" t="s">
        <v>52</v>
      </c>
      <c r="AJ1667" s="1">
        <v>2016</v>
      </c>
      <c r="AK1667" s="1" t="s">
        <v>46</v>
      </c>
      <c r="AL1667" s="1">
        <v>111</v>
      </c>
    </row>
    <row r="1668" spans="1:38" x14ac:dyDescent="0.2">
      <c r="A1668" s="2" t="str">
        <f>HYPERLINK("https://www.compass.com/listing/91-leonard-street-unit-12d-manhattan-ny-10013/693577889569056649/","91 Leonard St, Unit 12D")</f>
        <v>91 Leonard St, Unit 12D</v>
      </c>
      <c r="B1668" s="2" t="str">
        <f t="shared" si="283"/>
        <v>91 Leonard</v>
      </c>
      <c r="C1668" s="1" t="s">
        <v>40</v>
      </c>
      <c r="D1668" s="1" t="s">
        <v>41</v>
      </c>
      <c r="E1668" s="3">
        <v>878139</v>
      </c>
      <c r="F1668" s="1">
        <v>1711.7715399610099</v>
      </c>
      <c r="H1668" s="1" t="s">
        <v>77</v>
      </c>
      <c r="J1668" s="1">
        <v>1</v>
      </c>
      <c r="K1668" s="1">
        <v>1</v>
      </c>
      <c r="M1668" s="1">
        <v>513</v>
      </c>
      <c r="N1668" s="1">
        <v>603</v>
      </c>
      <c r="O1668" s="1">
        <v>1524</v>
      </c>
      <c r="P1668" s="1">
        <v>921</v>
      </c>
      <c r="Q1668" s="1" t="s">
        <v>42</v>
      </c>
      <c r="S1668" s="1" t="s">
        <v>42</v>
      </c>
      <c r="T1668" s="1" t="s">
        <v>203</v>
      </c>
      <c r="AA1668" s="1">
        <v>878138.8</v>
      </c>
      <c r="AB1668" s="1" t="s">
        <v>1231</v>
      </c>
      <c r="AC1668" s="5">
        <v>43822</v>
      </c>
      <c r="AF1668" s="1">
        <v>10013</v>
      </c>
      <c r="AI1668" s="1" t="s">
        <v>52</v>
      </c>
      <c r="AJ1668" s="1">
        <v>2016</v>
      </c>
      <c r="AK1668" s="1" t="s">
        <v>46</v>
      </c>
      <c r="AL1668" s="1">
        <v>111</v>
      </c>
    </row>
    <row r="1669" spans="1:38" x14ac:dyDescent="0.2">
      <c r="A1669" s="2" t="str">
        <f>HYPERLINK("https://www.compass.com/listing/91-leonard-street-unit-11d-manhattan-ny-10013/841541744034292169/","91 Leonard St, Unit 11D")</f>
        <v>91 Leonard St, Unit 11D</v>
      </c>
      <c r="B1669" s="2" t="str">
        <f t="shared" si="283"/>
        <v>91 Leonard</v>
      </c>
      <c r="C1669" s="1" t="s">
        <v>40</v>
      </c>
      <c r="D1669" s="1" t="s">
        <v>41</v>
      </c>
      <c r="E1669" s="3">
        <v>883986</v>
      </c>
      <c r="F1669" s="1">
        <v>1723.1695906432701</v>
      </c>
      <c r="H1669" s="1" t="s">
        <v>69</v>
      </c>
      <c r="I1669" s="1">
        <v>1</v>
      </c>
      <c r="J1669" s="1">
        <v>1</v>
      </c>
      <c r="K1669" s="1">
        <v>1</v>
      </c>
      <c r="M1669" s="1">
        <v>513</v>
      </c>
      <c r="S1669" s="1" t="s">
        <v>42</v>
      </c>
      <c r="T1669" s="1" t="s">
        <v>203</v>
      </c>
      <c r="U1669" s="1">
        <v>7</v>
      </c>
      <c r="V1669" s="5">
        <v>43784</v>
      </c>
      <c r="W1669" s="5">
        <v>43774</v>
      </c>
      <c r="X1669" s="1">
        <v>925000</v>
      </c>
      <c r="Y1669" s="1">
        <v>925000</v>
      </c>
      <c r="AA1669" s="1">
        <v>883986</v>
      </c>
      <c r="AB1669" s="1" t="s">
        <v>204</v>
      </c>
      <c r="AC1669" s="5">
        <v>43782</v>
      </c>
      <c r="AF1669" s="1">
        <v>10013</v>
      </c>
      <c r="AI1669" s="1" t="s">
        <v>45</v>
      </c>
      <c r="AJ1669" s="1">
        <v>2016</v>
      </c>
      <c r="AK1669" s="1" t="s">
        <v>46</v>
      </c>
      <c r="AL1669" s="1">
        <v>111</v>
      </c>
    </row>
    <row r="1670" spans="1:38" x14ac:dyDescent="0.2">
      <c r="A1670" s="2" t="str">
        <f>HYPERLINK("https://www.compass.com/listing/91-leonard-street-unit-5d-manhattan-ny-10013/841541764586522849/","91 Leonard St, Unit 5D")</f>
        <v>91 Leonard St, Unit 5D</v>
      </c>
      <c r="B1670" s="2" t="str">
        <f t="shared" si="283"/>
        <v>91 Leonard</v>
      </c>
      <c r="C1670" s="1" t="s">
        <v>40</v>
      </c>
      <c r="D1670" s="1" t="s">
        <v>41</v>
      </c>
      <c r="E1670" s="3">
        <v>790162</v>
      </c>
      <c r="H1670" s="1" t="s">
        <v>77</v>
      </c>
      <c r="J1670" s="1">
        <v>1</v>
      </c>
      <c r="S1670" s="1" t="s">
        <v>42</v>
      </c>
      <c r="T1670" s="1" t="s">
        <v>203</v>
      </c>
      <c r="U1670" s="1">
        <v>3</v>
      </c>
      <c r="V1670" s="5">
        <v>43784</v>
      </c>
      <c r="W1670" s="5">
        <v>43778</v>
      </c>
      <c r="X1670" s="1">
        <v>905000</v>
      </c>
      <c r="Y1670" s="1">
        <v>905000</v>
      </c>
      <c r="AA1670" s="1">
        <v>790162</v>
      </c>
      <c r="AB1670" s="1" t="s">
        <v>204</v>
      </c>
      <c r="AC1670" s="5">
        <v>43782</v>
      </c>
      <c r="AF1670" s="1">
        <v>10013</v>
      </c>
      <c r="AI1670" s="1" t="s">
        <v>45</v>
      </c>
      <c r="AJ1670" s="1">
        <v>2016</v>
      </c>
      <c r="AK1670" s="1" t="s">
        <v>46</v>
      </c>
      <c r="AL1670" s="1">
        <v>111</v>
      </c>
    </row>
    <row r="1671" spans="1:38" x14ac:dyDescent="0.2">
      <c r="A1671" s="2" t="str">
        <f>HYPERLINK("https://www.compass.com/listing/237-east-24th-street-unit-ph-manhattan-ny-10010/227014169591876017/","237 E 24th St, Unit PH")</f>
        <v>237 E 24th St, Unit PH</v>
      </c>
      <c r="B1671" s="2" t="str">
        <f>HYPERLINK("https://www.compass.com/building/237-e-24th-st-manhattan-ny-10010/281902461373925173/","237 E 24th St")</f>
        <v>237 E 24th St</v>
      </c>
      <c r="C1671" s="1" t="s">
        <v>1214</v>
      </c>
      <c r="D1671" s="1" t="s">
        <v>41</v>
      </c>
      <c r="E1671" s="3">
        <v>1311863</v>
      </c>
      <c r="F1671" s="1">
        <v>1192.60227272727</v>
      </c>
      <c r="G1671" s="1">
        <v>5</v>
      </c>
      <c r="H1671" s="1">
        <v>2</v>
      </c>
      <c r="I1671" s="1">
        <v>2</v>
      </c>
      <c r="J1671" s="1">
        <v>2</v>
      </c>
      <c r="M1671" s="4">
        <v>1100</v>
      </c>
      <c r="N1671" s="1">
        <v>1017</v>
      </c>
      <c r="O1671" s="1">
        <v>1799</v>
      </c>
      <c r="P1671" s="1">
        <v>782</v>
      </c>
      <c r="Q1671" s="1" t="s">
        <v>42</v>
      </c>
      <c r="S1671" s="1" t="s">
        <v>42</v>
      </c>
      <c r="T1671" s="1" t="s">
        <v>203</v>
      </c>
      <c r="U1671" s="1">
        <v>136</v>
      </c>
      <c r="V1671" s="5">
        <v>41640</v>
      </c>
      <c r="W1671" s="5">
        <v>41886</v>
      </c>
      <c r="X1671" s="1">
        <v>1700000</v>
      </c>
      <c r="Y1671" s="1">
        <v>1499000</v>
      </c>
      <c r="Z1671" s="5">
        <v>42106</v>
      </c>
      <c r="AA1671" s="1">
        <v>1311862.5</v>
      </c>
      <c r="AB1671" s="1" t="s">
        <v>1232</v>
      </c>
      <c r="AC1671" s="5">
        <v>42124</v>
      </c>
      <c r="AF1671" s="1">
        <v>10010</v>
      </c>
      <c r="AI1671" s="1" t="s">
        <v>1233</v>
      </c>
      <c r="AJ1671" s="1">
        <v>1900</v>
      </c>
      <c r="AL1671" s="1">
        <v>18</v>
      </c>
    </row>
    <row r="1672" spans="1:38" x14ac:dyDescent="0.2">
      <c r="A1672" s="2" t="str">
        <f>HYPERLINK("https://www.compass.com/listing/308-west-30th-street-unit-10a-manhattan-ny-10001/363450701960256513/","308 W 30th St, Unit 10A")</f>
        <v>308 W 30th St, Unit 10A</v>
      </c>
      <c r="B1672" s="2" t="str">
        <f>HYPERLINK("https://www.compass.com/building/the-irvin-house-manhattan-ny/281883290133070869/","The Irvin House")</f>
        <v>The Irvin House</v>
      </c>
      <c r="C1672" s="1" t="s">
        <v>62</v>
      </c>
      <c r="D1672" s="1" t="s">
        <v>41</v>
      </c>
      <c r="E1672" s="3">
        <v>850000</v>
      </c>
      <c r="F1672" s="1">
        <v>1475.69444444444</v>
      </c>
      <c r="H1672" s="1">
        <v>1</v>
      </c>
      <c r="J1672" s="1">
        <v>1</v>
      </c>
      <c r="K1672" s="1">
        <v>1</v>
      </c>
      <c r="M1672" s="1">
        <v>576</v>
      </c>
      <c r="N1672" s="1">
        <v>510.42</v>
      </c>
      <c r="O1672" s="1">
        <v>952.77</v>
      </c>
      <c r="P1672" s="1">
        <v>442.33333333333297</v>
      </c>
      <c r="Q1672" s="1" t="s">
        <v>42</v>
      </c>
      <c r="S1672" s="1" t="s">
        <v>42</v>
      </c>
      <c r="T1672" s="1" t="s">
        <v>203</v>
      </c>
      <c r="AA1672" s="1">
        <v>850000</v>
      </c>
      <c r="AB1672" s="1" t="s">
        <v>1234</v>
      </c>
      <c r="AC1672" s="5">
        <v>43740</v>
      </c>
      <c r="AF1672" s="1">
        <v>10001</v>
      </c>
      <c r="AI1672" s="1" t="s">
        <v>73</v>
      </c>
      <c r="AJ1672" s="1">
        <v>1925</v>
      </c>
      <c r="AL1672" s="1">
        <v>61</v>
      </c>
    </row>
    <row r="1673" spans="1:38" x14ac:dyDescent="0.2">
      <c r="A1673" s="2" t="str">
        <f>HYPERLINK("https://www.compass.com/listing/550-west-29th-street-unit-pha-manhattan-ny-10001/732526932212692457/","550 W 29th St, Unit PHA")</f>
        <v>550 W 29th St, Unit PHA</v>
      </c>
      <c r="B1673" s="2" t="str">
        <f>HYPERLINK("https://www.compass.com/building/five-five-zero-manhattan-ny/282059178623665589/","Five Five Zero")</f>
        <v>Five Five Zero</v>
      </c>
      <c r="C1673" s="1" t="s">
        <v>62</v>
      </c>
      <c r="D1673" s="1" t="s">
        <v>41</v>
      </c>
      <c r="E1673" s="3">
        <v>8500000</v>
      </c>
      <c r="F1673" s="1">
        <v>2203.2141005702401</v>
      </c>
      <c r="G1673" s="1">
        <v>10.5</v>
      </c>
      <c r="H1673" s="1">
        <v>4</v>
      </c>
      <c r="I1673" s="1">
        <v>5</v>
      </c>
      <c r="J1673" s="1">
        <v>4.5</v>
      </c>
      <c r="K1673" s="1">
        <v>4</v>
      </c>
      <c r="L1673" s="1">
        <v>1</v>
      </c>
      <c r="M1673" s="4">
        <v>3858</v>
      </c>
      <c r="N1673" s="1">
        <v>6789</v>
      </c>
      <c r="O1673" s="1">
        <v>11129</v>
      </c>
      <c r="P1673" s="1">
        <v>4340</v>
      </c>
      <c r="Q1673" s="1" t="s">
        <v>42</v>
      </c>
      <c r="S1673" s="1" t="s">
        <v>42</v>
      </c>
      <c r="T1673" s="1" t="s">
        <v>203</v>
      </c>
      <c r="U1673" s="1">
        <v>2</v>
      </c>
      <c r="V1673" s="5">
        <v>44418</v>
      </c>
      <c r="W1673" s="5">
        <v>44260</v>
      </c>
      <c r="X1673" s="1">
        <v>9495000</v>
      </c>
      <c r="Y1673" s="1">
        <v>9495000</v>
      </c>
      <c r="Z1673" s="5">
        <v>44263</v>
      </c>
      <c r="AA1673" s="1">
        <v>8500000</v>
      </c>
      <c r="AB1673" s="1" t="s">
        <v>204</v>
      </c>
      <c r="AC1673" s="5">
        <v>44413</v>
      </c>
      <c r="AF1673" s="1">
        <v>10001</v>
      </c>
      <c r="AI1673" s="1" t="s">
        <v>93</v>
      </c>
      <c r="AJ1673" s="1">
        <v>2016</v>
      </c>
      <c r="AK1673" s="1" t="s">
        <v>81</v>
      </c>
      <c r="AL1673" s="1">
        <v>19</v>
      </c>
    </row>
    <row r="1674" spans="1:38" x14ac:dyDescent="0.2">
      <c r="A1674" s="2" t="str">
        <f>HYPERLINK("https://www.compass.com/listing/237-east-24th-street-unit-4r-manhattan-ny-10010/29380783412172097/","237 E 24th St, Unit 4R")</f>
        <v>237 E 24th St, Unit 4R</v>
      </c>
      <c r="B1674" s="2" t="str">
        <f>HYPERLINK("https://www.compass.com/building/237-e-24th-st-manhattan-ny-10010/281902461373925173/","237 E 24th St")</f>
        <v>237 E 24th St</v>
      </c>
      <c r="C1674" s="1" t="s">
        <v>1214</v>
      </c>
      <c r="D1674" s="1" t="s">
        <v>41</v>
      </c>
      <c r="E1674" s="3">
        <v>817391</v>
      </c>
      <c r="F1674" s="1">
        <v>1021.7390625</v>
      </c>
      <c r="G1674" s="1">
        <v>4</v>
      </c>
      <c r="H1674" s="1">
        <v>2</v>
      </c>
      <c r="I1674" s="1">
        <v>1</v>
      </c>
      <c r="J1674" s="1">
        <v>1</v>
      </c>
      <c r="M1674" s="1">
        <v>800</v>
      </c>
      <c r="N1674" s="1">
        <v>764</v>
      </c>
      <c r="O1674" s="1">
        <v>1351</v>
      </c>
      <c r="P1674" s="1">
        <v>587</v>
      </c>
      <c r="Q1674" s="1" t="s">
        <v>42</v>
      </c>
      <c r="S1674" s="1" t="s">
        <v>42</v>
      </c>
      <c r="T1674" s="1" t="s">
        <v>203</v>
      </c>
      <c r="U1674" s="1">
        <v>225</v>
      </c>
      <c r="V1674" s="5">
        <v>43608</v>
      </c>
      <c r="W1674" s="5">
        <v>41786</v>
      </c>
      <c r="X1674" s="1">
        <v>925000</v>
      </c>
      <c r="Y1674" s="1">
        <v>925000</v>
      </c>
      <c r="Z1674" s="5">
        <v>42011</v>
      </c>
      <c r="AA1674" s="1">
        <v>817391.25</v>
      </c>
      <c r="AB1674" s="1" t="s">
        <v>1235</v>
      </c>
      <c r="AC1674" s="5">
        <v>42079</v>
      </c>
      <c r="AF1674" s="1">
        <v>10010</v>
      </c>
      <c r="AI1674" s="1" t="s">
        <v>1236</v>
      </c>
      <c r="AJ1674" s="1">
        <v>1900</v>
      </c>
      <c r="AL1674" s="1">
        <v>18</v>
      </c>
    </row>
    <row r="1675" spans="1:38" x14ac:dyDescent="0.2">
      <c r="A1675" s="2" t="str">
        <f>HYPERLINK("https://www.compass.com/listing/269-west-87th-street-unit-3a-manhattan-ny-10024/241254489112262945/","269 W 87th St, Unit 3A")</f>
        <v>269 W 87th St, Unit 3A</v>
      </c>
      <c r="B1675" s="2" t="str">
        <f>HYPERLINK("https://www.compass.com/building/west-end-and-eighty-seven-manhattan-ny/282058755477110005/","West End and Eighty Seven")</f>
        <v>West End and Eighty Seven</v>
      </c>
      <c r="C1675" s="1" t="s">
        <v>47</v>
      </c>
      <c r="D1675" s="1" t="s">
        <v>41</v>
      </c>
      <c r="E1675" s="3">
        <v>4076000</v>
      </c>
      <c r="F1675" s="1">
        <v>1485.9642726941299</v>
      </c>
      <c r="H1675" s="1">
        <v>4</v>
      </c>
      <c r="J1675" s="1">
        <v>5</v>
      </c>
      <c r="K1675" s="1">
        <v>5</v>
      </c>
      <c r="M1675" s="4">
        <v>2743</v>
      </c>
      <c r="N1675" s="1">
        <v>7981</v>
      </c>
      <c r="O1675" s="1">
        <v>7981</v>
      </c>
      <c r="Q1675" s="1" t="s">
        <v>191</v>
      </c>
      <c r="S1675" s="1" t="s">
        <v>191</v>
      </c>
      <c r="T1675" s="1" t="s">
        <v>203</v>
      </c>
      <c r="AA1675" s="1">
        <v>4076000</v>
      </c>
      <c r="AB1675" s="1" t="s">
        <v>1237</v>
      </c>
      <c r="AC1675" s="5">
        <v>43559</v>
      </c>
      <c r="AF1675" s="1">
        <v>10024</v>
      </c>
      <c r="AI1675" s="1" t="s">
        <v>67</v>
      </c>
      <c r="AJ1675" s="1">
        <v>2018</v>
      </c>
      <c r="AK1675" s="1" t="s">
        <v>46</v>
      </c>
      <c r="AL1675" s="1">
        <v>39</v>
      </c>
    </row>
    <row r="1676" spans="1:38" x14ac:dyDescent="0.2">
      <c r="A1676" s="2" t="str">
        <f>HYPERLINK("https://www.compass.com/listing/237-east-24th-street-unit-3w-manhattan-ny-10010/29380780828412753/","237 E 24th St, Unit 3W")</f>
        <v>237 E 24th St, Unit 3W</v>
      </c>
      <c r="B1676" s="2" t="str">
        <f t="shared" ref="B1676:B1677" si="284">HYPERLINK("https://www.compass.com/building/237-e-24th-st-manhattan-ny-10010/281902461373925173/","237 E 24th St")</f>
        <v>237 E 24th St</v>
      </c>
      <c r="C1676" s="1" t="s">
        <v>1214</v>
      </c>
      <c r="D1676" s="1" t="s">
        <v>41</v>
      </c>
      <c r="E1676" s="3">
        <v>534581</v>
      </c>
      <c r="F1676" s="1">
        <v>1159.6122559652899</v>
      </c>
      <c r="H1676" s="1">
        <v>1</v>
      </c>
      <c r="J1676" s="1">
        <v>1</v>
      </c>
      <c r="K1676" s="1">
        <v>1</v>
      </c>
      <c r="M1676" s="1">
        <v>461</v>
      </c>
      <c r="N1676" s="1">
        <v>462</v>
      </c>
      <c r="O1676" s="1">
        <v>1080</v>
      </c>
      <c r="P1676" s="1">
        <v>618</v>
      </c>
      <c r="Q1676" s="1" t="s">
        <v>42</v>
      </c>
      <c r="S1676" s="1" t="s">
        <v>42</v>
      </c>
      <c r="T1676" s="1" t="s">
        <v>203</v>
      </c>
      <c r="AA1676" s="1">
        <v>534581.25</v>
      </c>
      <c r="AB1676" s="1" t="s">
        <v>1238</v>
      </c>
      <c r="AC1676" s="5">
        <v>41565</v>
      </c>
      <c r="AF1676" s="1">
        <v>10010</v>
      </c>
      <c r="AI1676" s="1" t="s">
        <v>58</v>
      </c>
      <c r="AJ1676" s="1">
        <v>1900</v>
      </c>
      <c r="AL1676" s="1">
        <v>18</v>
      </c>
    </row>
    <row r="1677" spans="1:38" x14ac:dyDescent="0.2">
      <c r="A1677" s="2" t="str">
        <f>HYPERLINK("https://www.compass.com/listing/237-east-24th-street-unit-3r-manhattan-ny-10010/29380783051385473/","237 E 24th St, Unit 3R")</f>
        <v>237 E 24th St, Unit 3R</v>
      </c>
      <c r="B1677" s="2" t="str">
        <f t="shared" si="284"/>
        <v>237 E 24th St</v>
      </c>
      <c r="C1677" s="1" t="s">
        <v>1214</v>
      </c>
      <c r="D1677" s="1" t="s">
        <v>41</v>
      </c>
      <c r="E1677" s="3">
        <v>536000</v>
      </c>
      <c r="G1677" s="1">
        <v>3</v>
      </c>
      <c r="H1677" s="1">
        <v>1</v>
      </c>
      <c r="I1677" s="1">
        <v>1</v>
      </c>
      <c r="J1677" s="1">
        <v>1</v>
      </c>
      <c r="N1677" s="1">
        <v>346</v>
      </c>
      <c r="O1677" s="1">
        <v>612</v>
      </c>
      <c r="P1677" s="1">
        <v>266</v>
      </c>
      <c r="Q1677" s="1" t="s">
        <v>42</v>
      </c>
      <c r="S1677" s="1" t="s">
        <v>42</v>
      </c>
      <c r="T1677" s="1" t="s">
        <v>203</v>
      </c>
      <c r="U1677" s="1">
        <v>9</v>
      </c>
      <c r="V1677" s="5">
        <v>43613</v>
      </c>
      <c r="W1677" s="5">
        <v>41849</v>
      </c>
      <c r="X1677" s="1">
        <v>536000</v>
      </c>
      <c r="Y1677" s="1">
        <v>536000</v>
      </c>
      <c r="Z1677" s="5">
        <v>41858</v>
      </c>
      <c r="AA1677" s="1">
        <v>536000</v>
      </c>
      <c r="AB1677" s="1" t="s">
        <v>1239</v>
      </c>
      <c r="AC1677" s="5">
        <v>41898</v>
      </c>
      <c r="AF1677" s="1">
        <v>10010</v>
      </c>
      <c r="AI1677" s="1" t="s">
        <v>58</v>
      </c>
      <c r="AJ1677" s="1">
        <v>1900</v>
      </c>
      <c r="AL1677" s="1">
        <v>18</v>
      </c>
    </row>
    <row r="1678" spans="1:38" x14ac:dyDescent="0.2">
      <c r="A1678" s="2" t="str">
        <f>HYPERLINK("https://www.compass.com/listing/320-east-82nd-street-unit-3-manhattan-ny-10028/29515065019390977/","320 E 82nd St, Unit 3")</f>
        <v>320 E 82nd St, Unit 3</v>
      </c>
      <c r="B1678" s="2" t="str">
        <f t="shared" ref="B1678:B1683" si="285">HYPERLINK("https://www.compass.com/building/the-park-mansion-manhattan-ny/281986214662348405/","The Park Mansion")</f>
        <v>The Park Mansion</v>
      </c>
      <c r="C1678" s="1" t="s">
        <v>53</v>
      </c>
      <c r="D1678" s="1" t="s">
        <v>41</v>
      </c>
      <c r="E1678" s="3">
        <v>5100000</v>
      </c>
      <c r="F1678" s="1">
        <v>1881.2246403541101</v>
      </c>
      <c r="G1678" s="1">
        <v>9</v>
      </c>
      <c r="H1678" s="1">
        <v>4</v>
      </c>
      <c r="I1678" s="1">
        <v>5</v>
      </c>
      <c r="J1678" s="1">
        <v>4.5</v>
      </c>
      <c r="M1678" s="4">
        <v>2711</v>
      </c>
      <c r="N1678" s="1">
        <v>2815</v>
      </c>
      <c r="O1678" s="1">
        <v>7411</v>
      </c>
      <c r="P1678" s="1">
        <v>4596</v>
      </c>
      <c r="Q1678" s="1" t="s">
        <v>42</v>
      </c>
      <c r="S1678" s="1" t="s">
        <v>42</v>
      </c>
      <c r="T1678" s="1" t="s">
        <v>203</v>
      </c>
      <c r="U1678" s="1">
        <v>87</v>
      </c>
      <c r="V1678" s="5">
        <v>43670</v>
      </c>
      <c r="W1678" s="5">
        <v>43187</v>
      </c>
      <c r="X1678" s="1">
        <v>5995000</v>
      </c>
      <c r="Y1678" s="1">
        <v>5100000</v>
      </c>
      <c r="Z1678" s="5">
        <v>43274</v>
      </c>
      <c r="AA1678" s="1">
        <v>5100000</v>
      </c>
      <c r="AB1678" s="1" t="s">
        <v>1240</v>
      </c>
      <c r="AC1678" s="5">
        <v>43320</v>
      </c>
      <c r="AF1678" s="1">
        <v>10028</v>
      </c>
      <c r="AI1678" s="1" t="s">
        <v>134</v>
      </c>
      <c r="AJ1678" s="1">
        <v>1900</v>
      </c>
      <c r="AK1678" s="1" t="s">
        <v>55</v>
      </c>
      <c r="AL1678" s="1">
        <v>6</v>
      </c>
    </row>
    <row r="1679" spans="1:38" x14ac:dyDescent="0.2">
      <c r="A1679" s="2" t="str">
        <f>HYPERLINK("https://www.compass.com/listing/320-east-82nd-street-unit-5-manhattan-ny-10028/803334639963932817/","320 E 82nd St, Unit 5")</f>
        <v>320 E 82nd St, Unit 5</v>
      </c>
      <c r="B1679" s="2" t="str">
        <f t="shared" si="285"/>
        <v>The Park Mansion</v>
      </c>
      <c r="C1679" s="1" t="s">
        <v>53</v>
      </c>
      <c r="D1679" s="1" t="s">
        <v>41</v>
      </c>
      <c r="E1679" s="3">
        <v>5400000</v>
      </c>
      <c r="F1679" s="1">
        <v>1983.1068674256301</v>
      </c>
      <c r="G1679" s="1">
        <v>7</v>
      </c>
      <c r="H1679" s="1">
        <v>4</v>
      </c>
      <c r="I1679" s="1">
        <v>5</v>
      </c>
      <c r="J1679" s="1">
        <v>4.5</v>
      </c>
      <c r="M1679" s="4">
        <v>2723</v>
      </c>
      <c r="N1679" s="1">
        <v>2815</v>
      </c>
      <c r="O1679" s="1">
        <v>8386</v>
      </c>
      <c r="P1679" s="1">
        <v>5571</v>
      </c>
      <c r="Q1679" s="1" t="s">
        <v>42</v>
      </c>
      <c r="S1679" s="1" t="s">
        <v>42</v>
      </c>
      <c r="T1679" s="1" t="s">
        <v>203</v>
      </c>
      <c r="U1679" s="1">
        <v>2</v>
      </c>
      <c r="V1679" s="5">
        <v>43399</v>
      </c>
      <c r="W1679" s="5">
        <v>43347</v>
      </c>
      <c r="X1679" s="1">
        <v>5700000</v>
      </c>
      <c r="Y1679" s="1">
        <v>5700000</v>
      </c>
      <c r="Z1679" s="5">
        <v>43350</v>
      </c>
      <c r="AA1679" s="1">
        <v>5400000</v>
      </c>
      <c r="AB1679" s="1" t="s">
        <v>1241</v>
      </c>
      <c r="AC1679" s="5">
        <v>43397</v>
      </c>
      <c r="AF1679" s="1">
        <v>10028</v>
      </c>
      <c r="AI1679" s="1" t="s">
        <v>134</v>
      </c>
      <c r="AJ1679" s="1">
        <v>1900</v>
      </c>
      <c r="AK1679" s="1" t="s">
        <v>55</v>
      </c>
      <c r="AL1679" s="1">
        <v>6</v>
      </c>
    </row>
    <row r="1680" spans="1:38" x14ac:dyDescent="0.2">
      <c r="A1680" s="2" t="str">
        <f>HYPERLINK("https://www.compass.com/listing/320-east-82nd-street-unit-4-manhattan-ny-10028/803299660449806417/","320 E 82nd St, Unit 4")</f>
        <v>320 E 82nd St, Unit 4</v>
      </c>
      <c r="B1680" s="2" t="str">
        <f t="shared" si="285"/>
        <v>The Park Mansion</v>
      </c>
      <c r="C1680" s="1" t="s">
        <v>53</v>
      </c>
      <c r="D1680" s="1" t="s">
        <v>41</v>
      </c>
      <c r="E1680" s="3">
        <v>4920000</v>
      </c>
      <c r="F1680" s="1">
        <v>1816.83899556868</v>
      </c>
      <c r="G1680" s="1">
        <v>9</v>
      </c>
      <c r="H1680" s="1">
        <v>4</v>
      </c>
      <c r="I1680" s="1">
        <v>5</v>
      </c>
      <c r="J1680" s="1">
        <v>4.5</v>
      </c>
      <c r="K1680" s="1">
        <v>4</v>
      </c>
      <c r="L1680" s="1">
        <v>1</v>
      </c>
      <c r="M1680" s="4">
        <v>2708</v>
      </c>
      <c r="N1680" s="1">
        <v>2814</v>
      </c>
      <c r="O1680" s="1">
        <v>7410</v>
      </c>
      <c r="P1680" s="1">
        <v>4596</v>
      </c>
      <c r="Q1680" s="1" t="s">
        <v>42</v>
      </c>
      <c r="S1680" s="1" t="s">
        <v>42</v>
      </c>
      <c r="T1680" s="1" t="s">
        <v>203</v>
      </c>
      <c r="U1680" s="1">
        <v>532</v>
      </c>
      <c r="V1680" s="5">
        <v>43588</v>
      </c>
      <c r="W1680" s="5">
        <v>42873</v>
      </c>
      <c r="X1680" s="1">
        <v>6250000</v>
      </c>
      <c r="Y1680" s="1">
        <v>5350000</v>
      </c>
      <c r="Z1680" s="5">
        <v>43484</v>
      </c>
      <c r="AA1680" s="1">
        <v>4920000</v>
      </c>
      <c r="AB1680" s="1" t="s">
        <v>1242</v>
      </c>
      <c r="AC1680" s="5">
        <v>43586</v>
      </c>
      <c r="AF1680" s="1">
        <v>10028</v>
      </c>
      <c r="AI1680" s="1" t="s">
        <v>134</v>
      </c>
      <c r="AJ1680" s="1">
        <v>1900</v>
      </c>
      <c r="AK1680" s="1" t="s">
        <v>55</v>
      </c>
      <c r="AL1680" s="1">
        <v>6</v>
      </c>
    </row>
    <row r="1681" spans="1:38" x14ac:dyDescent="0.2">
      <c r="A1681" s="2" t="str">
        <f>HYPERLINK("https://www.compass.com/listing/320-east-82nd-street-unit-4-manhattan-ny-10028/34108168191697345/","320 E 82nd St, Unit 4")</f>
        <v>320 E 82nd St, Unit 4</v>
      </c>
      <c r="B1681" s="2" t="str">
        <f t="shared" si="285"/>
        <v>The Park Mansion</v>
      </c>
      <c r="C1681" s="1" t="s">
        <v>53</v>
      </c>
      <c r="D1681" s="1" t="s">
        <v>41</v>
      </c>
      <c r="E1681" s="3">
        <v>4920000</v>
      </c>
      <c r="F1681" s="1">
        <v>1816.83899556868</v>
      </c>
      <c r="G1681" s="1">
        <v>7</v>
      </c>
      <c r="H1681" s="1">
        <v>4</v>
      </c>
      <c r="I1681" s="1">
        <v>5</v>
      </c>
      <c r="J1681" s="1">
        <v>4.5</v>
      </c>
      <c r="K1681" s="1">
        <v>4</v>
      </c>
      <c r="L1681" s="1">
        <v>1</v>
      </c>
      <c r="M1681" s="4">
        <v>2708</v>
      </c>
      <c r="N1681" s="1">
        <v>2815</v>
      </c>
      <c r="O1681" s="1">
        <v>7411</v>
      </c>
      <c r="P1681" s="1">
        <v>4596</v>
      </c>
      <c r="Q1681" s="1" t="s">
        <v>42</v>
      </c>
      <c r="S1681" s="1" t="s">
        <v>42</v>
      </c>
      <c r="T1681" s="1" t="s">
        <v>203</v>
      </c>
      <c r="U1681" s="1">
        <v>206</v>
      </c>
      <c r="V1681" s="5">
        <v>43637</v>
      </c>
      <c r="W1681" s="5">
        <v>43278</v>
      </c>
      <c r="X1681" s="1">
        <v>5350000</v>
      </c>
      <c r="Y1681" s="1">
        <v>5350000</v>
      </c>
      <c r="Z1681" s="5">
        <v>43484</v>
      </c>
      <c r="AA1681" s="1">
        <v>4920000</v>
      </c>
      <c r="AB1681" s="1" t="s">
        <v>1242</v>
      </c>
      <c r="AC1681" s="5">
        <v>43586</v>
      </c>
      <c r="AF1681" s="1">
        <v>10028</v>
      </c>
      <c r="AI1681" s="1" t="s">
        <v>134</v>
      </c>
      <c r="AJ1681" s="1">
        <v>1900</v>
      </c>
      <c r="AK1681" s="1" t="s">
        <v>55</v>
      </c>
      <c r="AL1681" s="1">
        <v>6</v>
      </c>
    </row>
    <row r="1682" spans="1:38" x14ac:dyDescent="0.2">
      <c r="A1682" s="2" t="str">
        <f>HYPERLINK("https://www.compass.com/listing/320-east-82nd-street-unit-5-manhattan-ny-10028/69425829314099969/","320 E 82nd St, Unit 5")</f>
        <v>320 E 82nd St, Unit 5</v>
      </c>
      <c r="B1682" s="2" t="str">
        <f t="shared" si="285"/>
        <v>The Park Mansion</v>
      </c>
      <c r="C1682" s="1" t="s">
        <v>53</v>
      </c>
      <c r="D1682" s="1" t="s">
        <v>41</v>
      </c>
      <c r="E1682" s="3">
        <v>5400000</v>
      </c>
      <c r="F1682" s="1">
        <v>1983.1068674256301</v>
      </c>
      <c r="G1682" s="1">
        <v>7</v>
      </c>
      <c r="H1682" s="1">
        <v>4</v>
      </c>
      <c r="I1682" s="1">
        <v>5</v>
      </c>
      <c r="J1682" s="1">
        <v>4.5</v>
      </c>
      <c r="M1682" s="4">
        <v>2723</v>
      </c>
      <c r="N1682" s="1">
        <v>2815</v>
      </c>
      <c r="O1682" s="1">
        <v>8386</v>
      </c>
      <c r="P1682" s="1">
        <v>5571</v>
      </c>
      <c r="Q1682" s="1" t="s">
        <v>42</v>
      </c>
      <c r="S1682" s="1" t="s">
        <v>42</v>
      </c>
      <c r="T1682" s="1" t="s">
        <v>203</v>
      </c>
      <c r="U1682" s="1">
        <v>2</v>
      </c>
      <c r="V1682" s="5">
        <v>43641</v>
      </c>
      <c r="W1682" s="5">
        <v>43348</v>
      </c>
      <c r="X1682" s="1">
        <v>5700000</v>
      </c>
      <c r="Y1682" s="1">
        <v>5700000</v>
      </c>
      <c r="Z1682" s="5">
        <v>43350</v>
      </c>
      <c r="AA1682" s="1">
        <v>5400000</v>
      </c>
      <c r="AB1682" s="1" t="s">
        <v>1241</v>
      </c>
      <c r="AC1682" s="5">
        <v>43397</v>
      </c>
      <c r="AF1682" s="1">
        <v>10028</v>
      </c>
      <c r="AI1682" s="1" t="s">
        <v>134</v>
      </c>
      <c r="AJ1682" s="1">
        <v>1900</v>
      </c>
      <c r="AK1682" s="1" t="s">
        <v>55</v>
      </c>
      <c r="AL1682" s="1">
        <v>6</v>
      </c>
    </row>
    <row r="1683" spans="1:38" x14ac:dyDescent="0.2">
      <c r="A1683" s="2" t="str">
        <f>HYPERLINK("https://www.compass.com/listing/320-east-82nd-street-unit-3-manhattan-ny-10028/803342299828335201/","320 E 82nd St, Unit 3")</f>
        <v>320 E 82nd St, Unit 3</v>
      </c>
      <c r="B1683" s="2" t="str">
        <f t="shared" si="285"/>
        <v>The Park Mansion</v>
      </c>
      <c r="C1683" s="1" t="s">
        <v>53</v>
      </c>
      <c r="D1683" s="1" t="s">
        <v>41</v>
      </c>
      <c r="E1683" s="3">
        <v>5100000</v>
      </c>
      <c r="F1683" s="1">
        <v>1881.2246403541101</v>
      </c>
      <c r="G1683" s="1">
        <v>7</v>
      </c>
      <c r="H1683" s="1">
        <v>4</v>
      </c>
      <c r="I1683" s="1">
        <v>5</v>
      </c>
      <c r="J1683" s="1">
        <v>4.5</v>
      </c>
      <c r="M1683" s="4">
        <v>2711</v>
      </c>
      <c r="N1683" s="1">
        <v>2815</v>
      </c>
      <c r="O1683" s="1">
        <v>7411</v>
      </c>
      <c r="P1683" s="1">
        <v>4596</v>
      </c>
      <c r="Q1683" s="1" t="s">
        <v>42</v>
      </c>
      <c r="S1683" s="1" t="s">
        <v>42</v>
      </c>
      <c r="T1683" s="1" t="s">
        <v>203</v>
      </c>
      <c r="U1683" s="1">
        <v>56</v>
      </c>
      <c r="V1683" s="5">
        <v>43330</v>
      </c>
      <c r="W1683" s="5">
        <v>43217</v>
      </c>
      <c r="X1683" s="1">
        <v>5000000</v>
      </c>
      <c r="Y1683" s="1">
        <v>5100000</v>
      </c>
      <c r="Z1683" s="5">
        <v>43274</v>
      </c>
      <c r="AA1683" s="1">
        <v>5100000</v>
      </c>
      <c r="AB1683" s="1" t="s">
        <v>1240</v>
      </c>
      <c r="AC1683" s="5">
        <v>43320</v>
      </c>
      <c r="AF1683" s="1">
        <v>10028</v>
      </c>
      <c r="AI1683" s="1" t="s">
        <v>148</v>
      </c>
      <c r="AJ1683" s="1">
        <v>1900</v>
      </c>
      <c r="AK1683" s="1" t="s">
        <v>55</v>
      </c>
      <c r="AL1683" s="1">
        <v>6</v>
      </c>
    </row>
    <row r="1684" spans="1:38" x14ac:dyDescent="0.2">
      <c r="A1684" s="2" t="str">
        <f>HYPERLINK("https://www.compass.com/listing/554-east-82nd-street-unit-2-manhattan-ny-10028/29425988110684529/","554 E 82nd St, Unit 2")</f>
        <v>554 E 82nd St, Unit 2</v>
      </c>
      <c r="B1684" s="2" t="str">
        <f t="shared" ref="B1684:B1685" si="286">HYPERLINK("https://www.compass.com/building/554-e-82nd-st-manhattan-ny-10028/281987736842381013/","554 E 82nd St")</f>
        <v>554 E 82nd St</v>
      </c>
      <c r="C1684" s="1" t="s">
        <v>53</v>
      </c>
      <c r="D1684" s="1" t="s">
        <v>41</v>
      </c>
      <c r="E1684" s="3">
        <v>1950000</v>
      </c>
      <c r="F1684" s="1">
        <v>1294.82071713147</v>
      </c>
      <c r="G1684" s="1">
        <v>4</v>
      </c>
      <c r="H1684" s="1">
        <v>2</v>
      </c>
      <c r="I1684" s="1">
        <v>2</v>
      </c>
      <c r="J1684" s="1">
        <v>2</v>
      </c>
      <c r="K1684" s="1">
        <v>2</v>
      </c>
      <c r="M1684" s="4">
        <v>1506</v>
      </c>
      <c r="N1684" s="1">
        <v>2393</v>
      </c>
      <c r="O1684" s="1">
        <v>3536</v>
      </c>
      <c r="P1684" s="1">
        <v>1143</v>
      </c>
      <c r="Q1684" s="1" t="s">
        <v>42</v>
      </c>
      <c r="S1684" s="1" t="s">
        <v>42</v>
      </c>
      <c r="T1684" s="1" t="s">
        <v>203</v>
      </c>
      <c r="U1684" s="1">
        <v>390</v>
      </c>
      <c r="V1684" s="5">
        <v>43664</v>
      </c>
      <c r="W1684" s="5">
        <v>41963</v>
      </c>
      <c r="X1684" s="1">
        <v>2700000</v>
      </c>
      <c r="Y1684" s="1">
        <v>1999000</v>
      </c>
      <c r="Z1684" s="5">
        <v>42353</v>
      </c>
      <c r="AA1684" s="1">
        <v>1950000</v>
      </c>
      <c r="AB1684" s="1" t="s">
        <v>1243</v>
      </c>
      <c r="AC1684" s="5">
        <v>42396</v>
      </c>
      <c r="AF1684" s="1">
        <v>10028</v>
      </c>
      <c r="AI1684" s="1" t="s">
        <v>123</v>
      </c>
      <c r="AJ1684" s="1">
        <v>2015</v>
      </c>
      <c r="AK1684" s="1" t="s">
        <v>178</v>
      </c>
      <c r="AL1684" s="1">
        <v>4</v>
      </c>
    </row>
    <row r="1685" spans="1:38" x14ac:dyDescent="0.2">
      <c r="A1685" s="2" t="str">
        <f>HYPERLINK("https://www.compass.com/listing/554-east-82nd-street-unit-2-manhattan-ny-10028/455260620984885313/","554 E 82nd St, Unit 2")</f>
        <v>554 E 82nd St, Unit 2</v>
      </c>
      <c r="B1685" s="2" t="str">
        <f t="shared" si="286"/>
        <v>554 E 82nd St</v>
      </c>
      <c r="C1685" s="1" t="s">
        <v>53</v>
      </c>
      <c r="D1685" s="1" t="s">
        <v>41</v>
      </c>
      <c r="E1685" s="3">
        <v>2150000</v>
      </c>
      <c r="F1685" s="1">
        <v>1427.6228419654699</v>
      </c>
      <c r="G1685" s="1">
        <v>6</v>
      </c>
      <c r="H1685" s="1">
        <v>2</v>
      </c>
      <c r="I1685" s="1">
        <v>2</v>
      </c>
      <c r="J1685" s="1">
        <v>2</v>
      </c>
      <c r="K1685" s="1">
        <v>2</v>
      </c>
      <c r="M1685" s="4">
        <v>1506</v>
      </c>
      <c r="N1685" s="1">
        <v>2393</v>
      </c>
      <c r="O1685" s="1">
        <v>3892</v>
      </c>
      <c r="P1685" s="1">
        <v>1499</v>
      </c>
      <c r="Q1685" s="1" t="s">
        <v>42</v>
      </c>
      <c r="S1685" s="1" t="s">
        <v>42</v>
      </c>
      <c r="T1685" s="1" t="s">
        <v>203</v>
      </c>
      <c r="U1685" s="1">
        <v>22</v>
      </c>
      <c r="V1685" s="5">
        <v>44335</v>
      </c>
      <c r="W1685" s="5">
        <v>43879</v>
      </c>
      <c r="X1685" s="1">
        <v>2125000</v>
      </c>
      <c r="Y1685" s="1">
        <v>2125000</v>
      </c>
      <c r="Z1685" s="5">
        <v>43901</v>
      </c>
      <c r="AA1685" s="1">
        <v>2150000</v>
      </c>
      <c r="AB1685" s="1" t="s">
        <v>1244</v>
      </c>
      <c r="AC1685" s="5">
        <v>43943</v>
      </c>
      <c r="AF1685" s="1">
        <v>10028</v>
      </c>
      <c r="AI1685" s="1" t="s">
        <v>1245</v>
      </c>
      <c r="AJ1685" s="1">
        <v>2015</v>
      </c>
      <c r="AK1685" s="1" t="s">
        <v>178</v>
      </c>
      <c r="AL1685" s="1">
        <v>4</v>
      </c>
    </row>
    <row r="1686" spans="1:38" x14ac:dyDescent="0.2">
      <c r="A1686" s="2" t="str">
        <f>HYPERLINK("https://www.compass.com/listing/308-west-30th-street-unit-9f-manhattan-ny-10001/29371603238377985/","308 W 30th St, Unit 9F")</f>
        <v>308 W 30th St, Unit 9F</v>
      </c>
      <c r="B1686" s="2" t="str">
        <f>HYPERLINK("https://www.compass.com/building/the-irvin-house-manhattan-ny/281883290133070869/","The Irvin House")</f>
        <v>The Irvin House</v>
      </c>
      <c r="C1686" s="1" t="s">
        <v>62</v>
      </c>
      <c r="D1686" s="1" t="s">
        <v>41</v>
      </c>
      <c r="E1686" s="3">
        <v>148000</v>
      </c>
      <c r="F1686" s="1">
        <v>261.48409893992903</v>
      </c>
      <c r="H1686" s="1">
        <v>1</v>
      </c>
      <c r="J1686" s="1">
        <v>1</v>
      </c>
      <c r="K1686" s="1">
        <v>1</v>
      </c>
      <c r="M1686" s="1">
        <v>566</v>
      </c>
      <c r="N1686" s="1">
        <v>499.11</v>
      </c>
      <c r="O1686" s="1">
        <v>931.68</v>
      </c>
      <c r="P1686" s="1">
        <v>432.58333333333297</v>
      </c>
      <c r="Q1686" s="1" t="s">
        <v>42</v>
      </c>
      <c r="S1686" s="1" t="s">
        <v>42</v>
      </c>
      <c r="T1686" s="1" t="s">
        <v>203</v>
      </c>
      <c r="AA1686" s="1">
        <v>148000</v>
      </c>
      <c r="AB1686" s="1" t="s">
        <v>1246</v>
      </c>
      <c r="AC1686" s="5">
        <v>42124</v>
      </c>
      <c r="AF1686" s="1">
        <v>10001</v>
      </c>
      <c r="AI1686" s="1" t="s">
        <v>73</v>
      </c>
      <c r="AJ1686" s="1">
        <v>1925</v>
      </c>
      <c r="AL1686" s="1">
        <v>61</v>
      </c>
    </row>
    <row r="1687" spans="1:38" x14ac:dyDescent="0.2">
      <c r="A1687" s="2" t="str">
        <f>HYPERLINK("https://www.compass.com/listing/237-east-24th-street-unit-1w-manhattan-ny-10010/29380779536635121/","237 E 24th St, Unit 1W")</f>
        <v>237 E 24th St, Unit 1W</v>
      </c>
      <c r="B1687" s="2" t="str">
        <f>HYPERLINK("https://www.compass.com/building/237-e-24th-st-manhattan-ny-10010/281902461373925173/","237 E 24th St")</f>
        <v>237 E 24th St</v>
      </c>
      <c r="C1687" s="1" t="s">
        <v>1214</v>
      </c>
      <c r="D1687" s="1" t="s">
        <v>41</v>
      </c>
      <c r="E1687" s="3">
        <v>710000</v>
      </c>
      <c r="G1687" s="1">
        <v>4</v>
      </c>
      <c r="H1687" s="1">
        <v>1</v>
      </c>
      <c r="I1687" s="1">
        <v>2</v>
      </c>
      <c r="J1687" s="1">
        <v>1.5</v>
      </c>
      <c r="N1687" s="1">
        <v>523</v>
      </c>
      <c r="O1687" s="1">
        <v>926</v>
      </c>
      <c r="P1687" s="1">
        <v>403</v>
      </c>
      <c r="Q1687" s="1" t="s">
        <v>42</v>
      </c>
      <c r="S1687" s="1" t="s">
        <v>42</v>
      </c>
      <c r="T1687" s="1" t="s">
        <v>203</v>
      </c>
      <c r="U1687" s="1">
        <v>166</v>
      </c>
      <c r="V1687" s="5">
        <v>43608</v>
      </c>
      <c r="W1687" s="5">
        <v>41593</v>
      </c>
      <c r="X1687" s="1">
        <v>850000</v>
      </c>
      <c r="Y1687" s="1">
        <v>775000</v>
      </c>
      <c r="Z1687" s="5">
        <v>41759</v>
      </c>
      <c r="AA1687" s="1">
        <v>710000</v>
      </c>
      <c r="AB1687" s="1" t="s">
        <v>1247</v>
      </c>
      <c r="AC1687" s="5">
        <v>41964</v>
      </c>
      <c r="AF1687" s="1">
        <v>10010</v>
      </c>
      <c r="AI1687" s="1" t="s">
        <v>58</v>
      </c>
      <c r="AJ1687" s="1">
        <v>1900</v>
      </c>
      <c r="AL1687" s="1">
        <v>18</v>
      </c>
    </row>
    <row r="1688" spans="1:38" x14ac:dyDescent="0.2">
      <c r="A1688" s="2" t="str">
        <f>HYPERLINK("https://www.compass.com/listing/550-west-29th-street-unit-3c-manhattan-ny-10001/745362470251960713/","550 W 29th St, Unit 3C")</f>
        <v>550 W 29th St, Unit 3C</v>
      </c>
      <c r="B1688" s="2" t="str">
        <f>HYPERLINK("https://www.compass.com/building/five-five-zero-manhattan-ny/282059178623665589/","Five Five Zero")</f>
        <v>Five Five Zero</v>
      </c>
      <c r="C1688" s="1" t="s">
        <v>62</v>
      </c>
      <c r="D1688" s="1" t="s">
        <v>41</v>
      </c>
      <c r="E1688" s="3">
        <v>2850000</v>
      </c>
      <c r="F1688" s="1">
        <v>1534.7334410339199</v>
      </c>
      <c r="H1688" s="1">
        <v>3</v>
      </c>
      <c r="J1688" s="1">
        <v>3</v>
      </c>
      <c r="K1688" s="1">
        <v>3</v>
      </c>
      <c r="M1688" s="4">
        <v>1857</v>
      </c>
      <c r="N1688" s="1">
        <v>1</v>
      </c>
      <c r="O1688" s="1">
        <v>3413</v>
      </c>
      <c r="P1688" s="1">
        <v>3412</v>
      </c>
      <c r="Q1688" s="1" t="s">
        <v>42</v>
      </c>
      <c r="S1688" s="1" t="s">
        <v>42</v>
      </c>
      <c r="T1688" s="1" t="s">
        <v>203</v>
      </c>
      <c r="AA1688" s="1">
        <v>2850000</v>
      </c>
      <c r="AB1688" s="1" t="s">
        <v>1248</v>
      </c>
      <c r="AC1688" s="5">
        <v>44267</v>
      </c>
      <c r="AF1688" s="1">
        <v>10001</v>
      </c>
      <c r="AI1688" s="1" t="s">
        <v>58</v>
      </c>
      <c r="AJ1688" s="1">
        <v>2016</v>
      </c>
      <c r="AK1688" s="1" t="s">
        <v>50</v>
      </c>
      <c r="AL1688" s="1">
        <v>19</v>
      </c>
    </row>
    <row r="1689" spans="1:38" x14ac:dyDescent="0.2">
      <c r="A1689" s="2" t="str">
        <f>HYPERLINK("https://www.compass.com/listing/302-east-96th-street-unit-1102-manhattan-ny-10128/29515124981204193/","302 E 96th St, Unit 1102")</f>
        <v>302 E 96th St, Unit 1102</v>
      </c>
      <c r="B1689" s="2" t="str">
        <f t="shared" ref="B1689:B1690" si="287">HYPERLINK("https://www.compass.com/building/302-e-96th-st-manhattan-ny/282050840162756469/","302 E 96th St")</f>
        <v>302 E 96th St</v>
      </c>
      <c r="C1689" s="1" t="s">
        <v>53</v>
      </c>
      <c r="D1689" s="1" t="s">
        <v>41</v>
      </c>
      <c r="E1689" s="3">
        <v>1685204</v>
      </c>
      <c r="F1689" s="1">
        <v>1721.35240040858</v>
      </c>
      <c r="G1689" s="1">
        <v>4</v>
      </c>
      <c r="H1689" s="1">
        <v>1</v>
      </c>
      <c r="I1689" s="1">
        <v>2</v>
      </c>
      <c r="J1689" s="1">
        <v>2</v>
      </c>
      <c r="K1689" s="1">
        <v>2</v>
      </c>
      <c r="M1689" s="1">
        <v>979</v>
      </c>
      <c r="N1689" s="1">
        <v>1070</v>
      </c>
      <c r="O1689" s="1">
        <v>1824</v>
      </c>
      <c r="P1689" s="1">
        <v>754</v>
      </c>
      <c r="Q1689" s="1" t="s">
        <v>42</v>
      </c>
      <c r="S1689" s="1" t="s">
        <v>42</v>
      </c>
      <c r="T1689" s="1" t="s">
        <v>203</v>
      </c>
      <c r="U1689" s="1">
        <v>111</v>
      </c>
      <c r="V1689" s="5">
        <v>43637</v>
      </c>
      <c r="W1689" s="5">
        <v>43186</v>
      </c>
      <c r="X1689" s="1">
        <v>1655000</v>
      </c>
      <c r="Y1689" s="1">
        <v>1655000</v>
      </c>
      <c r="Z1689" s="5">
        <v>43297</v>
      </c>
      <c r="AA1689" s="1">
        <v>1685204</v>
      </c>
      <c r="AB1689" s="1" t="s">
        <v>1249</v>
      </c>
      <c r="AC1689" s="5">
        <v>43573</v>
      </c>
      <c r="AF1689" s="1">
        <v>10128</v>
      </c>
      <c r="AI1689" s="1" t="s">
        <v>1250</v>
      </c>
      <c r="AJ1689" s="1">
        <v>2018</v>
      </c>
      <c r="AK1689" s="1" t="s">
        <v>537</v>
      </c>
      <c r="AL1689" s="1">
        <v>48</v>
      </c>
    </row>
    <row r="1690" spans="1:38" x14ac:dyDescent="0.2">
      <c r="A1690" s="2" t="str">
        <f>HYPERLINK("https://www.compass.com/listing/302-east-96th-street-unit-1402-manhattan-ny-10128/29515124427488065/","302 E 96th St, Unit 1402")</f>
        <v>302 E 96th St, Unit 1402</v>
      </c>
      <c r="B1690" s="2" t="str">
        <f t="shared" si="287"/>
        <v>302 E 96th St</v>
      </c>
      <c r="C1690" s="1" t="s">
        <v>53</v>
      </c>
      <c r="D1690" s="1" t="s">
        <v>41</v>
      </c>
      <c r="E1690" s="3">
        <v>1807393</v>
      </c>
      <c r="F1690" s="1">
        <v>1846.1624106230799</v>
      </c>
      <c r="G1690" s="1">
        <v>4</v>
      </c>
      <c r="H1690" s="1">
        <v>1</v>
      </c>
      <c r="I1690" s="1">
        <v>2</v>
      </c>
      <c r="J1690" s="1">
        <v>2</v>
      </c>
      <c r="K1690" s="1">
        <v>2</v>
      </c>
      <c r="M1690" s="1">
        <v>979</v>
      </c>
      <c r="N1690" s="1">
        <v>1097</v>
      </c>
      <c r="O1690" s="1">
        <v>1870</v>
      </c>
      <c r="P1690" s="1">
        <v>773</v>
      </c>
      <c r="Q1690" s="1" t="s">
        <v>42</v>
      </c>
      <c r="S1690" s="1" t="s">
        <v>42</v>
      </c>
      <c r="T1690" s="1" t="s">
        <v>203</v>
      </c>
      <c r="V1690" s="5">
        <v>44407</v>
      </c>
      <c r="Y1690" s="1">
        <v>1775000</v>
      </c>
      <c r="Z1690" s="5">
        <v>42984</v>
      </c>
      <c r="AA1690" s="1">
        <v>1807393</v>
      </c>
      <c r="AB1690" s="1" t="s">
        <v>1251</v>
      </c>
      <c r="AC1690" s="5">
        <v>43591</v>
      </c>
      <c r="AF1690" s="1">
        <v>10128</v>
      </c>
      <c r="AI1690" s="1" t="s">
        <v>1250</v>
      </c>
      <c r="AJ1690" s="1">
        <v>2018</v>
      </c>
      <c r="AK1690" s="1" t="s">
        <v>537</v>
      </c>
      <c r="AL1690" s="1">
        <v>48</v>
      </c>
    </row>
    <row r="1691" spans="1:38" x14ac:dyDescent="0.2">
      <c r="A1691" s="2" t="str">
        <f>HYPERLINK("https://www.compass.com/listing/550-west-29th-street-unit-2a-manhattan-ny-10001/416371589768741153/","550 W 29th St, Unit 2A")</f>
        <v>550 W 29th St, Unit 2A</v>
      </c>
      <c r="B1691" s="2" t="str">
        <f t="shared" ref="B1691:B1692" si="288">HYPERLINK("https://www.compass.com/building/five-five-zero-manhattan-ny/282059178623665589/","Five Five Zero")</f>
        <v>Five Five Zero</v>
      </c>
      <c r="C1691" s="1" t="s">
        <v>62</v>
      </c>
      <c r="D1691" s="1" t="s">
        <v>41</v>
      </c>
      <c r="E1691" s="3">
        <v>3800000</v>
      </c>
      <c r="F1691" s="1">
        <v>1672.5352112676001</v>
      </c>
      <c r="H1691" s="1">
        <v>3</v>
      </c>
      <c r="J1691" s="1">
        <v>3.5</v>
      </c>
      <c r="K1691" s="1">
        <v>3</v>
      </c>
      <c r="L1691" s="1">
        <v>1</v>
      </c>
      <c r="M1691" s="4">
        <v>2272</v>
      </c>
      <c r="N1691" s="1">
        <v>1</v>
      </c>
      <c r="O1691" s="1">
        <v>4248</v>
      </c>
      <c r="P1691" s="1">
        <v>4247</v>
      </c>
      <c r="Q1691" s="1" t="s">
        <v>42</v>
      </c>
      <c r="S1691" s="1" t="s">
        <v>42</v>
      </c>
      <c r="T1691" s="1" t="s">
        <v>203</v>
      </c>
      <c r="AA1691" s="1">
        <v>3800000</v>
      </c>
      <c r="AB1691" s="1" t="s">
        <v>1252</v>
      </c>
      <c r="AC1691" s="5">
        <v>43811</v>
      </c>
      <c r="AF1691" s="1">
        <v>10001</v>
      </c>
      <c r="AI1691" s="1" t="s">
        <v>58</v>
      </c>
      <c r="AJ1691" s="1">
        <v>2016</v>
      </c>
      <c r="AK1691" s="1" t="s">
        <v>50</v>
      </c>
      <c r="AL1691" s="1">
        <v>19</v>
      </c>
    </row>
    <row r="1692" spans="1:38" x14ac:dyDescent="0.2">
      <c r="A1692" s="2" t="str">
        <f>HYPERLINK("https://www.compass.com/listing/550-west-29th-street-unit-2b-manhattan-ny-10001/480869565518480601/","550 W 29th St, Unit 2B")</f>
        <v>550 W 29th St, Unit 2B</v>
      </c>
      <c r="B1692" s="2" t="str">
        <f t="shared" si="288"/>
        <v>Five Five Zero</v>
      </c>
      <c r="C1692" s="1" t="s">
        <v>62</v>
      </c>
      <c r="D1692" s="1" t="s">
        <v>41</v>
      </c>
      <c r="E1692" s="3">
        <v>3469075</v>
      </c>
      <c r="F1692" s="1">
        <v>1528.90037902159</v>
      </c>
      <c r="H1692" s="1">
        <v>3</v>
      </c>
      <c r="J1692" s="1">
        <v>3.5</v>
      </c>
      <c r="K1692" s="1">
        <v>3</v>
      </c>
      <c r="L1692" s="1">
        <v>1</v>
      </c>
      <c r="M1692" s="4">
        <v>2269</v>
      </c>
      <c r="N1692" s="1">
        <v>1</v>
      </c>
      <c r="O1692" s="1">
        <v>4242</v>
      </c>
      <c r="P1692" s="1">
        <v>4241</v>
      </c>
      <c r="Q1692" s="1" t="s">
        <v>42</v>
      </c>
      <c r="S1692" s="1" t="s">
        <v>42</v>
      </c>
      <c r="T1692" s="1" t="s">
        <v>203</v>
      </c>
      <c r="AA1692" s="1">
        <v>3469074.96</v>
      </c>
      <c r="AB1692" s="1" t="s">
        <v>1253</v>
      </c>
      <c r="AC1692" s="5">
        <v>43733</v>
      </c>
      <c r="AF1692" s="1">
        <v>10001</v>
      </c>
      <c r="AI1692" s="1" t="s">
        <v>58</v>
      </c>
      <c r="AJ1692" s="1">
        <v>2016</v>
      </c>
      <c r="AK1692" s="1" t="s">
        <v>50</v>
      </c>
      <c r="AL1692" s="1">
        <v>19</v>
      </c>
    </row>
    <row r="1693" spans="1:38" x14ac:dyDescent="0.2">
      <c r="A1693" s="2" t="str">
        <f>HYPERLINK("https://www.compass.com/listing/320-east-82nd-street-unit-5-manhattan-ny-10028/803334639963932825/","320 E 82nd St, Unit 5")</f>
        <v>320 E 82nd St, Unit 5</v>
      </c>
      <c r="B1693" s="2" t="str">
        <f t="shared" ref="B1693:B1694" si="289">HYPERLINK("https://www.compass.com/building/the-park-mansion-manhattan-ny/281986214662348405/","The Park Mansion")</f>
        <v>The Park Mansion</v>
      </c>
      <c r="C1693" s="1" t="s">
        <v>53</v>
      </c>
      <c r="D1693" s="1" t="s">
        <v>41</v>
      </c>
      <c r="E1693" s="3">
        <v>5400000</v>
      </c>
      <c r="F1693" s="1">
        <v>1983.1068674256301</v>
      </c>
      <c r="G1693" s="1">
        <v>7</v>
      </c>
      <c r="H1693" s="1">
        <v>4</v>
      </c>
      <c r="I1693" s="1">
        <v>5</v>
      </c>
      <c r="J1693" s="1">
        <v>4.5</v>
      </c>
      <c r="M1693" s="4">
        <v>2723</v>
      </c>
      <c r="N1693" s="1">
        <v>2814</v>
      </c>
      <c r="O1693" s="1">
        <v>8385</v>
      </c>
      <c r="P1693" s="1">
        <v>5571</v>
      </c>
      <c r="Q1693" s="1" t="s">
        <v>42</v>
      </c>
      <c r="S1693" s="1" t="s">
        <v>42</v>
      </c>
      <c r="T1693" s="1" t="s">
        <v>203</v>
      </c>
      <c r="U1693" s="1">
        <v>123</v>
      </c>
      <c r="V1693" s="5">
        <v>43348</v>
      </c>
      <c r="W1693" s="5">
        <v>43024</v>
      </c>
      <c r="X1693" s="1">
        <v>6295000</v>
      </c>
      <c r="Y1693" s="1">
        <v>6295000</v>
      </c>
      <c r="Z1693" s="5">
        <v>43147</v>
      </c>
      <c r="AA1693" s="1">
        <v>5400000</v>
      </c>
      <c r="AB1693" s="1" t="s">
        <v>1241</v>
      </c>
      <c r="AC1693" s="5">
        <v>43397</v>
      </c>
      <c r="AF1693" s="1">
        <v>10028</v>
      </c>
      <c r="AI1693" s="1" t="s">
        <v>134</v>
      </c>
      <c r="AJ1693" s="1">
        <v>1900</v>
      </c>
      <c r="AK1693" s="1" t="s">
        <v>55</v>
      </c>
      <c r="AL1693" s="1">
        <v>6</v>
      </c>
    </row>
    <row r="1694" spans="1:38" x14ac:dyDescent="0.2">
      <c r="A1694" s="2" t="str">
        <f>HYPERLINK("https://www.compass.com/listing/320-east-82nd-street-unit-3-manhattan-ny-10028/803342299828335209/","320 E 82nd St, Unit 3")</f>
        <v>320 E 82nd St, Unit 3</v>
      </c>
      <c r="B1694" s="2" t="str">
        <f t="shared" si="289"/>
        <v>The Park Mansion</v>
      </c>
      <c r="C1694" s="1" t="s">
        <v>53</v>
      </c>
      <c r="D1694" s="1" t="s">
        <v>41</v>
      </c>
      <c r="E1694" s="3">
        <v>5100000</v>
      </c>
      <c r="F1694" s="1">
        <v>1881.2246403541101</v>
      </c>
      <c r="G1694" s="1">
        <v>9</v>
      </c>
      <c r="H1694" s="1">
        <v>4</v>
      </c>
      <c r="I1694" s="1">
        <v>5</v>
      </c>
      <c r="J1694" s="1">
        <v>4.5</v>
      </c>
      <c r="M1694" s="4">
        <v>2711</v>
      </c>
      <c r="N1694" s="1">
        <v>2814</v>
      </c>
      <c r="O1694" s="1">
        <v>8385</v>
      </c>
      <c r="P1694" s="1">
        <v>5571</v>
      </c>
      <c r="Q1694" s="1" t="s">
        <v>42</v>
      </c>
      <c r="S1694" s="1" t="s">
        <v>42</v>
      </c>
      <c r="T1694" s="1" t="s">
        <v>203</v>
      </c>
      <c r="U1694" s="1">
        <v>40</v>
      </c>
      <c r="V1694" s="5">
        <v>43278</v>
      </c>
      <c r="W1694" s="5">
        <v>43147</v>
      </c>
      <c r="Y1694" s="1">
        <v>5995000</v>
      </c>
      <c r="Z1694" s="5">
        <v>42874</v>
      </c>
      <c r="AA1694" s="1">
        <v>5100000</v>
      </c>
      <c r="AB1694" s="1" t="s">
        <v>1240</v>
      </c>
      <c r="AC1694" s="5">
        <v>43320</v>
      </c>
      <c r="AF1694" s="1">
        <v>10028</v>
      </c>
      <c r="AI1694" s="1" t="s">
        <v>889</v>
      </c>
      <c r="AJ1694" s="1">
        <v>1900</v>
      </c>
      <c r="AK1694" s="1" t="s">
        <v>55</v>
      </c>
      <c r="AL1694" s="1">
        <v>6</v>
      </c>
    </row>
    <row r="1695" spans="1:38" x14ac:dyDescent="0.2">
      <c r="A1695" s="2" t="str">
        <f>HYPERLINK("https://www.compass.com/listing/302-east-96th-street-unit-ph2n-manhattan-ny-10128/29515121592138465/","302 E 96th St, Unit PH2N")</f>
        <v>302 E 96th St, Unit PH2N</v>
      </c>
      <c r="B1695" s="2" t="str">
        <f t="shared" ref="B1695:B1704" si="290">HYPERLINK("https://www.compass.com/building/302-e-96th-st-manhattan-ny/282050840162756469/","302 E 96th St")</f>
        <v>302 E 96th St</v>
      </c>
      <c r="C1695" s="1" t="s">
        <v>53</v>
      </c>
      <c r="D1695" s="1" t="s">
        <v>41</v>
      </c>
      <c r="E1695" s="3">
        <v>1995000</v>
      </c>
      <c r="F1695" s="1">
        <v>1820.2554744525501</v>
      </c>
      <c r="G1695" s="1">
        <v>3</v>
      </c>
      <c r="H1695" s="1">
        <v>2</v>
      </c>
      <c r="I1695" s="1">
        <v>2</v>
      </c>
      <c r="J1695" s="1">
        <v>2</v>
      </c>
      <c r="K1695" s="1">
        <v>2</v>
      </c>
      <c r="M1695" s="4">
        <v>1096</v>
      </c>
      <c r="N1695" s="1">
        <v>1248</v>
      </c>
      <c r="O1695" s="1">
        <v>2127</v>
      </c>
      <c r="P1695" s="1">
        <v>879</v>
      </c>
      <c r="Q1695" s="1" t="s">
        <v>42</v>
      </c>
      <c r="S1695" s="1" t="s">
        <v>42</v>
      </c>
      <c r="T1695" s="1" t="s">
        <v>203</v>
      </c>
      <c r="U1695" s="1">
        <v>26</v>
      </c>
      <c r="V1695" s="5">
        <v>44076</v>
      </c>
      <c r="W1695" s="5">
        <v>42888</v>
      </c>
      <c r="X1695" s="1">
        <v>1995000</v>
      </c>
      <c r="Y1695" s="1">
        <v>1995000</v>
      </c>
      <c r="Z1695" s="5">
        <v>42914</v>
      </c>
      <c r="AA1695" s="1">
        <v>1995000</v>
      </c>
      <c r="AB1695" s="1" t="s">
        <v>1254</v>
      </c>
      <c r="AC1695" s="5">
        <v>43574</v>
      </c>
      <c r="AF1695" s="1">
        <v>10128</v>
      </c>
      <c r="AI1695" s="1" t="s">
        <v>1255</v>
      </c>
      <c r="AJ1695" s="1">
        <v>2018</v>
      </c>
      <c r="AK1695" s="1" t="s">
        <v>537</v>
      </c>
      <c r="AL1695" s="1">
        <v>48</v>
      </c>
    </row>
    <row r="1696" spans="1:38" x14ac:dyDescent="0.2">
      <c r="A1696" s="2" t="str">
        <f>HYPERLINK("https://www.compass.com/listing/302-east-96th-street-unit-ph2s-manhattan-ny-10128/29515123253150881/","302 E 96th St, Unit PH2S")</f>
        <v>302 E 96th St, Unit PH2S</v>
      </c>
      <c r="B1696" s="2" t="str">
        <f t="shared" si="290"/>
        <v>302 E 96th St</v>
      </c>
      <c r="C1696" s="1" t="s">
        <v>53</v>
      </c>
      <c r="D1696" s="1" t="s">
        <v>41</v>
      </c>
      <c r="E1696" s="3">
        <v>2031409</v>
      </c>
      <c r="F1696" s="1">
        <v>2001.3881773399</v>
      </c>
      <c r="G1696" s="1">
        <v>3</v>
      </c>
      <c r="H1696" s="1">
        <v>2</v>
      </c>
      <c r="I1696" s="1">
        <v>2</v>
      </c>
      <c r="J1696" s="1">
        <v>2</v>
      </c>
      <c r="K1696" s="1">
        <v>2</v>
      </c>
      <c r="M1696" s="4">
        <v>1015</v>
      </c>
      <c r="N1696" s="1">
        <v>1159</v>
      </c>
      <c r="O1696" s="1">
        <v>1976</v>
      </c>
      <c r="P1696" s="1">
        <v>817</v>
      </c>
      <c r="Q1696" s="1" t="s">
        <v>42</v>
      </c>
      <c r="S1696" s="1" t="s">
        <v>42</v>
      </c>
      <c r="T1696" s="1" t="s">
        <v>203</v>
      </c>
      <c r="U1696" s="1">
        <v>58</v>
      </c>
      <c r="V1696" s="5">
        <v>43637</v>
      </c>
      <c r="W1696" s="5">
        <v>43123</v>
      </c>
      <c r="X1696" s="1">
        <v>1995000</v>
      </c>
      <c r="Y1696" s="1">
        <v>1995000</v>
      </c>
      <c r="Z1696" s="5">
        <v>43308</v>
      </c>
      <c r="AA1696" s="1">
        <v>2031409</v>
      </c>
      <c r="AB1696" s="1" t="s">
        <v>1256</v>
      </c>
      <c r="AC1696" s="5">
        <v>43575</v>
      </c>
      <c r="AF1696" s="1">
        <v>10128</v>
      </c>
      <c r="AI1696" s="1" t="s">
        <v>1255</v>
      </c>
      <c r="AJ1696" s="1">
        <v>2018</v>
      </c>
      <c r="AK1696" s="1" t="s">
        <v>537</v>
      </c>
      <c r="AL1696" s="1">
        <v>48</v>
      </c>
    </row>
    <row r="1697" spans="1:38" x14ac:dyDescent="0.2">
      <c r="A1697" s="2" t="str">
        <f>HYPERLINK("https://www.compass.com/listing/302-east-96th-street-unit-1003-manhattan-ny-10128/29515121910932689/","302 E 96th St, Unit 1003")</f>
        <v>302 E 96th St, Unit 1003</v>
      </c>
      <c r="B1697" s="2" t="str">
        <f t="shared" si="290"/>
        <v>302 E 96th St</v>
      </c>
      <c r="C1697" s="1" t="s">
        <v>53</v>
      </c>
      <c r="D1697" s="1" t="s">
        <v>41</v>
      </c>
      <c r="E1697" s="3">
        <v>2163781</v>
      </c>
      <c r="F1697" s="1">
        <v>1527.01552575864</v>
      </c>
      <c r="G1697" s="1">
        <v>5</v>
      </c>
      <c r="H1697" s="1">
        <v>2</v>
      </c>
      <c r="I1697" s="1">
        <v>3</v>
      </c>
      <c r="J1697" s="1">
        <v>3</v>
      </c>
      <c r="K1697" s="1">
        <v>3</v>
      </c>
      <c r="M1697" s="4">
        <v>1417</v>
      </c>
      <c r="N1697" s="1">
        <v>1542</v>
      </c>
      <c r="O1697" s="1">
        <v>2629</v>
      </c>
      <c r="P1697" s="1">
        <v>1087</v>
      </c>
      <c r="Q1697" s="1" t="s">
        <v>42</v>
      </c>
      <c r="S1697" s="1" t="s">
        <v>42</v>
      </c>
      <c r="T1697" s="1" t="s">
        <v>203</v>
      </c>
      <c r="V1697" s="5">
        <v>44378</v>
      </c>
      <c r="W1697" s="5">
        <v>43284</v>
      </c>
      <c r="X1697" s="1">
        <v>2125000</v>
      </c>
      <c r="Y1697" s="1">
        <v>2190000</v>
      </c>
      <c r="Z1697" s="5">
        <v>43284</v>
      </c>
      <c r="AA1697" s="1">
        <v>2163781</v>
      </c>
      <c r="AB1697" s="1" t="s">
        <v>1257</v>
      </c>
      <c r="AC1697" s="5">
        <v>43572</v>
      </c>
      <c r="AF1697" s="1">
        <v>10128</v>
      </c>
      <c r="AI1697" s="1" t="s">
        <v>54</v>
      </c>
      <c r="AJ1697" s="1">
        <v>2018</v>
      </c>
      <c r="AK1697" s="1" t="s">
        <v>537</v>
      </c>
      <c r="AL1697" s="1">
        <v>48</v>
      </c>
    </row>
    <row r="1698" spans="1:38" x14ac:dyDescent="0.2">
      <c r="A1698" s="2" t="str">
        <f>HYPERLINK("https://www.compass.com/listing/302-east-96th-street-unit-1203-manhattan-ny-10128/29515122825290993/","302 E 96th St, Unit 1203")</f>
        <v>302 E 96th St, Unit 1203</v>
      </c>
      <c r="B1698" s="2" t="str">
        <f t="shared" si="290"/>
        <v>302 E 96th St</v>
      </c>
      <c r="C1698" s="1" t="s">
        <v>53</v>
      </c>
      <c r="D1698" s="1" t="s">
        <v>41</v>
      </c>
      <c r="E1698" s="3">
        <v>2255424</v>
      </c>
      <c r="F1698" s="1">
        <v>1591.6893083980201</v>
      </c>
      <c r="G1698" s="1">
        <v>5</v>
      </c>
      <c r="H1698" s="1">
        <v>2</v>
      </c>
      <c r="I1698" s="1">
        <v>3</v>
      </c>
      <c r="J1698" s="1">
        <v>3</v>
      </c>
      <c r="K1698" s="1">
        <v>3</v>
      </c>
      <c r="M1698" s="4">
        <v>1417</v>
      </c>
      <c r="N1698" s="1">
        <v>1574</v>
      </c>
      <c r="O1698" s="1">
        <v>2683</v>
      </c>
      <c r="P1698" s="1">
        <v>1109</v>
      </c>
      <c r="Q1698" s="1" t="s">
        <v>42</v>
      </c>
      <c r="S1698" s="1" t="s">
        <v>42</v>
      </c>
      <c r="T1698" s="1" t="s">
        <v>203</v>
      </c>
      <c r="U1698" s="1">
        <v>292</v>
      </c>
      <c r="V1698" s="5">
        <v>43637</v>
      </c>
      <c r="W1698" s="5">
        <v>43074</v>
      </c>
      <c r="X1698" s="1">
        <v>2240000</v>
      </c>
      <c r="Y1698" s="1">
        <v>2215000</v>
      </c>
      <c r="AA1698" s="1">
        <v>2255423.75</v>
      </c>
      <c r="AB1698" s="1" t="s">
        <v>1258</v>
      </c>
      <c r="AC1698" s="5">
        <v>43648</v>
      </c>
      <c r="AF1698" s="1">
        <v>10128</v>
      </c>
      <c r="AI1698" s="1" t="s">
        <v>1259</v>
      </c>
      <c r="AJ1698" s="1">
        <v>2018</v>
      </c>
      <c r="AK1698" s="1" t="s">
        <v>537</v>
      </c>
      <c r="AL1698" s="1">
        <v>48</v>
      </c>
    </row>
    <row r="1699" spans="1:38" x14ac:dyDescent="0.2">
      <c r="A1699" s="2" t="str">
        <f>HYPERLINK("https://www.compass.com/listing/302-east-96th-street-unit-1103-manhattan-ny-10128/29515123899032849/","302 E 96th St, Unit 1103")</f>
        <v>302 E 96th St, Unit 1103</v>
      </c>
      <c r="B1699" s="2" t="str">
        <f t="shared" si="290"/>
        <v>302 E 96th St</v>
      </c>
      <c r="C1699" s="1" t="s">
        <v>53</v>
      </c>
      <c r="D1699" s="1" t="s">
        <v>41</v>
      </c>
      <c r="E1699" s="3">
        <v>2189238</v>
      </c>
      <c r="F1699" s="1">
        <v>1544.98094565984</v>
      </c>
      <c r="G1699" s="1">
        <v>5</v>
      </c>
      <c r="H1699" s="1">
        <v>2</v>
      </c>
      <c r="I1699" s="1">
        <v>3</v>
      </c>
      <c r="J1699" s="1">
        <v>3</v>
      </c>
      <c r="K1699" s="1">
        <v>3</v>
      </c>
      <c r="M1699" s="4">
        <v>1417</v>
      </c>
      <c r="N1699" s="1">
        <v>1558</v>
      </c>
      <c r="O1699" s="1">
        <v>2656</v>
      </c>
      <c r="P1699" s="1">
        <v>1098</v>
      </c>
      <c r="Q1699" s="1" t="s">
        <v>42</v>
      </c>
      <c r="S1699" s="1" t="s">
        <v>42</v>
      </c>
      <c r="T1699" s="1" t="s">
        <v>203</v>
      </c>
      <c r="V1699" s="5">
        <v>44420</v>
      </c>
      <c r="W1699" s="5">
        <v>43250</v>
      </c>
      <c r="X1699" s="1">
        <v>2150000</v>
      </c>
      <c r="Y1699" s="1">
        <v>2150000</v>
      </c>
      <c r="Z1699" s="5">
        <v>43250</v>
      </c>
      <c r="AA1699" s="1">
        <v>2189238</v>
      </c>
      <c r="AB1699" s="1" t="s">
        <v>1260</v>
      </c>
      <c r="AC1699" s="5">
        <v>43566</v>
      </c>
      <c r="AF1699" s="1">
        <v>10128</v>
      </c>
      <c r="AI1699" s="1" t="s">
        <v>54</v>
      </c>
      <c r="AJ1699" s="1">
        <v>2018</v>
      </c>
      <c r="AK1699" s="1" t="s">
        <v>537</v>
      </c>
      <c r="AL1699" s="1">
        <v>48</v>
      </c>
    </row>
    <row r="1700" spans="1:38" x14ac:dyDescent="0.2">
      <c r="A1700" s="2" t="str">
        <f>HYPERLINK("https://www.compass.com/listing/302-east-96th-street-unit-1001-manhattan-ny-10128/104253071391005505/","302 E 96th St, Unit 1001")</f>
        <v>302 E 96th St, Unit 1001</v>
      </c>
      <c r="B1700" s="2" t="str">
        <f t="shared" si="290"/>
        <v>302 E 96th St</v>
      </c>
      <c r="C1700" s="1" t="s">
        <v>53</v>
      </c>
      <c r="D1700" s="1" t="s">
        <v>41</v>
      </c>
      <c r="E1700" s="3">
        <v>1069163</v>
      </c>
      <c r="F1700" s="1">
        <v>2048.2040229885001</v>
      </c>
      <c r="G1700" s="1">
        <v>2</v>
      </c>
      <c r="H1700" s="1">
        <v>1</v>
      </c>
      <c r="I1700" s="1">
        <v>1</v>
      </c>
      <c r="J1700" s="1">
        <v>1</v>
      </c>
      <c r="K1700" s="1">
        <v>1</v>
      </c>
      <c r="M1700" s="1">
        <v>522</v>
      </c>
      <c r="N1700" s="1">
        <v>554</v>
      </c>
      <c r="O1700" s="1">
        <v>945</v>
      </c>
      <c r="P1700" s="1">
        <v>391</v>
      </c>
      <c r="Q1700" s="1" t="s">
        <v>42</v>
      </c>
      <c r="S1700" s="1" t="s">
        <v>42</v>
      </c>
      <c r="T1700" s="1" t="s">
        <v>203</v>
      </c>
      <c r="V1700" s="5">
        <v>44399</v>
      </c>
      <c r="W1700" s="5">
        <v>43395</v>
      </c>
      <c r="X1700" s="1">
        <v>1070000</v>
      </c>
      <c r="Y1700" s="1">
        <v>1070000</v>
      </c>
      <c r="Z1700" s="5">
        <v>44039</v>
      </c>
      <c r="AA1700" s="1">
        <v>1069162.5</v>
      </c>
      <c r="AB1700" s="1" t="s">
        <v>1261</v>
      </c>
      <c r="AC1700" s="5">
        <v>43560</v>
      </c>
      <c r="AF1700" s="1">
        <v>10128</v>
      </c>
      <c r="AI1700" s="1" t="s">
        <v>1250</v>
      </c>
      <c r="AJ1700" s="1">
        <v>2018</v>
      </c>
      <c r="AK1700" s="1" t="s">
        <v>537</v>
      </c>
      <c r="AL1700" s="1">
        <v>48</v>
      </c>
    </row>
    <row r="1701" spans="1:38" x14ac:dyDescent="0.2">
      <c r="A1701" s="2" t="str">
        <f>HYPERLINK("https://www.compass.com/listing/302-east-96th-street-unit-1101-manhattan-ny-10128/220977323883711441/","302 E 96th St, Unit 1101")</f>
        <v>302 E 96th St, Unit 1101</v>
      </c>
      <c r="B1701" s="2" t="str">
        <f t="shared" si="290"/>
        <v>302 E 96th St</v>
      </c>
      <c r="C1701" s="1" t="s">
        <v>53</v>
      </c>
      <c r="D1701" s="1" t="s">
        <v>41</v>
      </c>
      <c r="E1701" s="3">
        <v>997885</v>
      </c>
      <c r="F1701" s="1">
        <v>1911.6570881226</v>
      </c>
      <c r="G1701" s="1">
        <v>2</v>
      </c>
      <c r="H1701" s="1">
        <v>1</v>
      </c>
      <c r="I1701" s="1">
        <v>1</v>
      </c>
      <c r="J1701" s="1">
        <v>1</v>
      </c>
      <c r="K1701" s="1">
        <v>1</v>
      </c>
      <c r="M1701" s="1">
        <v>522</v>
      </c>
      <c r="N1701" s="1">
        <v>560</v>
      </c>
      <c r="O1701" s="1">
        <v>955</v>
      </c>
      <c r="P1701" s="1">
        <v>395</v>
      </c>
      <c r="Q1701" s="1" t="s">
        <v>42</v>
      </c>
      <c r="S1701" s="1" t="s">
        <v>42</v>
      </c>
      <c r="T1701" s="1" t="s">
        <v>203</v>
      </c>
      <c r="V1701" s="5">
        <v>44371</v>
      </c>
      <c r="W1701" s="5">
        <v>43448</v>
      </c>
      <c r="X1701" s="1">
        <v>1085000</v>
      </c>
      <c r="Y1701" s="1">
        <v>1085000</v>
      </c>
      <c r="Z1701" s="5">
        <v>43448</v>
      </c>
      <c r="AA1701" s="1">
        <v>997885</v>
      </c>
      <c r="AB1701" s="1" t="s">
        <v>1262</v>
      </c>
      <c r="AC1701" s="5">
        <v>43587</v>
      </c>
      <c r="AF1701" s="1">
        <v>10128</v>
      </c>
      <c r="AI1701" s="1" t="s">
        <v>1250</v>
      </c>
      <c r="AJ1701" s="1">
        <v>2018</v>
      </c>
      <c r="AK1701" s="1" t="s">
        <v>537</v>
      </c>
      <c r="AL1701" s="1">
        <v>48</v>
      </c>
    </row>
    <row r="1702" spans="1:38" x14ac:dyDescent="0.2">
      <c r="A1702" s="2" t="str">
        <f>HYPERLINK("https://www.compass.com/listing/302-east-96th-street-unit-801-manhattan-ny-10128/29515124142343361/","302 E 96th St, Unit 801")</f>
        <v>302 E 96th St, Unit 801</v>
      </c>
      <c r="B1702" s="2" t="str">
        <f t="shared" si="290"/>
        <v>302 E 96th St</v>
      </c>
      <c r="C1702" s="1" t="s">
        <v>53</v>
      </c>
      <c r="D1702" s="1" t="s">
        <v>41</v>
      </c>
      <c r="E1702" s="3">
        <v>997885</v>
      </c>
      <c r="F1702" s="1">
        <v>1911.6570881226</v>
      </c>
      <c r="G1702" s="1">
        <v>2</v>
      </c>
      <c r="H1702" s="1">
        <v>1</v>
      </c>
      <c r="I1702" s="1">
        <v>1</v>
      </c>
      <c r="J1702" s="1">
        <v>1</v>
      </c>
      <c r="K1702" s="1">
        <v>1</v>
      </c>
      <c r="M1702" s="1">
        <v>522</v>
      </c>
      <c r="N1702" s="1">
        <v>543</v>
      </c>
      <c r="O1702" s="1">
        <v>926</v>
      </c>
      <c r="P1702" s="1">
        <v>383</v>
      </c>
      <c r="Q1702" s="1" t="s">
        <v>42</v>
      </c>
      <c r="S1702" s="1" t="s">
        <v>42</v>
      </c>
      <c r="T1702" s="1" t="s">
        <v>203</v>
      </c>
      <c r="U1702" s="1">
        <v>335</v>
      </c>
      <c r="V1702" s="5">
        <v>44371</v>
      </c>
      <c r="W1702" s="5">
        <v>42921</v>
      </c>
      <c r="X1702" s="1">
        <v>995000</v>
      </c>
      <c r="Y1702" s="1">
        <v>995000</v>
      </c>
      <c r="Z1702" s="5">
        <v>44019</v>
      </c>
      <c r="AA1702" s="1">
        <v>997885</v>
      </c>
      <c r="AB1702" s="1" t="s">
        <v>1263</v>
      </c>
      <c r="AC1702" s="5">
        <v>43580</v>
      </c>
      <c r="AF1702" s="1">
        <v>10128</v>
      </c>
      <c r="AI1702" s="1" t="s">
        <v>1250</v>
      </c>
      <c r="AJ1702" s="1">
        <v>2018</v>
      </c>
      <c r="AK1702" s="1" t="s">
        <v>537</v>
      </c>
      <c r="AL1702" s="1">
        <v>48</v>
      </c>
    </row>
    <row r="1703" spans="1:38" x14ac:dyDescent="0.2">
      <c r="A1703" s="2" t="str">
        <f>HYPERLINK("https://www.compass.com/listing/302-east-96th-street-unit-301-manhattan-ny-10128/29515124729505073/","302 E 96th St, Unit 301")</f>
        <v>302 E 96th St, Unit 301</v>
      </c>
      <c r="B1703" s="2" t="str">
        <f t="shared" si="290"/>
        <v>302 E 96th St</v>
      </c>
      <c r="C1703" s="1" t="s">
        <v>53</v>
      </c>
      <c r="D1703" s="1" t="s">
        <v>41</v>
      </c>
      <c r="E1703" s="3">
        <v>916425</v>
      </c>
      <c r="F1703" s="1">
        <v>1755.60344827586</v>
      </c>
      <c r="G1703" s="1">
        <v>3</v>
      </c>
      <c r="H1703" s="1">
        <v>1</v>
      </c>
      <c r="I1703" s="1">
        <v>1</v>
      </c>
      <c r="J1703" s="1">
        <v>1</v>
      </c>
      <c r="K1703" s="1">
        <v>1</v>
      </c>
      <c r="M1703" s="1">
        <v>522</v>
      </c>
      <c r="N1703" s="1">
        <v>516</v>
      </c>
      <c r="O1703" s="1">
        <v>879</v>
      </c>
      <c r="P1703" s="1">
        <v>363</v>
      </c>
      <c r="Q1703" s="1" t="s">
        <v>42</v>
      </c>
      <c r="S1703" s="1" t="s">
        <v>42</v>
      </c>
      <c r="T1703" s="1" t="s">
        <v>203</v>
      </c>
      <c r="U1703" s="1">
        <v>110</v>
      </c>
      <c r="V1703" s="5">
        <v>44378</v>
      </c>
      <c r="W1703" s="5">
        <v>43076</v>
      </c>
      <c r="X1703" s="1">
        <v>900000</v>
      </c>
      <c r="Y1703" s="1">
        <v>900000</v>
      </c>
      <c r="Z1703" s="5">
        <v>43186</v>
      </c>
      <c r="AA1703" s="1">
        <v>916425</v>
      </c>
      <c r="AB1703" s="1" t="s">
        <v>1264</v>
      </c>
      <c r="AC1703" s="5">
        <v>43591</v>
      </c>
      <c r="AF1703" s="1">
        <v>10128</v>
      </c>
      <c r="AI1703" s="1" t="s">
        <v>1265</v>
      </c>
      <c r="AJ1703" s="1">
        <v>2018</v>
      </c>
      <c r="AK1703" s="1" t="s">
        <v>537</v>
      </c>
      <c r="AL1703" s="1">
        <v>48</v>
      </c>
    </row>
    <row r="1704" spans="1:38" x14ac:dyDescent="0.2">
      <c r="A1704" s="2" t="str">
        <f>HYPERLINK("https://www.compass.com/listing/302-east-96th-street-unit-1403-manhattan-ny-10128/220977324126965985/","302 E 96th St, Unit 1403")</f>
        <v>302 E 96th St, Unit 1403</v>
      </c>
      <c r="B1704" s="2" t="str">
        <f t="shared" si="290"/>
        <v>302 E 96th St</v>
      </c>
      <c r="C1704" s="1" t="s">
        <v>53</v>
      </c>
      <c r="D1704" s="1" t="s">
        <v>41</v>
      </c>
      <c r="E1704" s="3">
        <v>2331793</v>
      </c>
      <c r="F1704" s="1">
        <v>1645.58398023994</v>
      </c>
      <c r="G1704" s="1">
        <v>5</v>
      </c>
      <c r="H1704" s="1">
        <v>2</v>
      </c>
      <c r="I1704" s="1">
        <v>3</v>
      </c>
      <c r="J1704" s="1">
        <v>3</v>
      </c>
      <c r="K1704" s="1">
        <v>3</v>
      </c>
      <c r="M1704" s="4">
        <v>1417</v>
      </c>
      <c r="N1704" s="1">
        <v>1600</v>
      </c>
      <c r="O1704" s="1">
        <v>2727</v>
      </c>
      <c r="P1704" s="1">
        <v>1127</v>
      </c>
      <c r="Q1704" s="1" t="s">
        <v>42</v>
      </c>
      <c r="S1704" s="1" t="s">
        <v>42</v>
      </c>
      <c r="T1704" s="1" t="s">
        <v>203</v>
      </c>
      <c r="V1704" s="5">
        <v>44371</v>
      </c>
      <c r="W1704" s="5">
        <v>43556</v>
      </c>
      <c r="X1704" s="1">
        <v>2290000</v>
      </c>
      <c r="Y1704" s="1">
        <v>2290000</v>
      </c>
      <c r="Z1704" s="5">
        <v>44019</v>
      </c>
      <c r="AA1704" s="1">
        <v>2331792.5</v>
      </c>
      <c r="AB1704" s="1" t="s">
        <v>1266</v>
      </c>
      <c r="AC1704" s="5">
        <v>43630</v>
      </c>
      <c r="AF1704" s="1">
        <v>10128</v>
      </c>
      <c r="AI1704" s="1" t="s">
        <v>54</v>
      </c>
      <c r="AJ1704" s="1">
        <v>2018</v>
      </c>
      <c r="AK1704" s="1" t="s">
        <v>537</v>
      </c>
      <c r="AL1704" s="1">
        <v>48</v>
      </c>
    </row>
    <row r="1705" spans="1:38" x14ac:dyDescent="0.2">
      <c r="A1705" s="2" t="str">
        <f>HYPERLINK("https://www.compass.com/listing/50-west-30th-street-unit-16a-manhattan-ny-10001/775091084545770985/","50 W 30th St, Unit 16A")</f>
        <v>50 W 30th St, Unit 16A</v>
      </c>
      <c r="B1705" s="2" t="str">
        <f>HYPERLINK("https://www.compass.com/building/the-noma-manhattan-ny/282058879016139621/","The NOMA")</f>
        <v>The NOMA</v>
      </c>
      <c r="C1705" s="1" t="s">
        <v>95</v>
      </c>
      <c r="D1705" s="1" t="s">
        <v>41</v>
      </c>
      <c r="E1705" s="3">
        <v>2150000</v>
      </c>
      <c r="F1705" s="1">
        <v>1616.5413533834501</v>
      </c>
      <c r="G1705" s="1">
        <v>4</v>
      </c>
      <c r="H1705" s="1">
        <v>2</v>
      </c>
      <c r="I1705" s="1">
        <v>2</v>
      </c>
      <c r="J1705" s="1">
        <v>2</v>
      </c>
      <c r="K1705" s="1">
        <v>2</v>
      </c>
      <c r="M1705" s="4">
        <v>1330</v>
      </c>
      <c r="N1705" s="1">
        <v>1626</v>
      </c>
      <c r="O1705" s="1">
        <v>4182</v>
      </c>
      <c r="P1705" s="1">
        <v>2556</v>
      </c>
      <c r="Q1705" s="1" t="s">
        <v>42</v>
      </c>
      <c r="S1705" s="1" t="s">
        <v>42</v>
      </c>
      <c r="T1705" s="1" t="s">
        <v>203</v>
      </c>
      <c r="U1705" s="1">
        <v>23</v>
      </c>
      <c r="V1705" s="5">
        <v>44405</v>
      </c>
      <c r="W1705" s="5">
        <v>44321</v>
      </c>
      <c r="X1705" s="1">
        <v>2225000</v>
      </c>
      <c r="Y1705" s="1">
        <v>2225000</v>
      </c>
      <c r="Z1705" s="5">
        <v>44345</v>
      </c>
      <c r="AA1705" s="1">
        <v>2150000</v>
      </c>
      <c r="AB1705" s="1" t="s">
        <v>1267</v>
      </c>
      <c r="AC1705" s="5">
        <v>44403</v>
      </c>
      <c r="AF1705" s="1">
        <v>10001</v>
      </c>
      <c r="AI1705" s="1" t="s">
        <v>45</v>
      </c>
      <c r="AJ1705" s="1">
        <v>2017</v>
      </c>
      <c r="AK1705" s="1" t="s">
        <v>87</v>
      </c>
      <c r="AL1705" s="1">
        <v>55</v>
      </c>
    </row>
    <row r="1706" spans="1:38" x14ac:dyDescent="0.2">
      <c r="A1706" s="2" t="str">
        <f>HYPERLINK("https://www.compass.com/listing/231-west-26th-street-unit-4-manhattan-ny-10001/380685452645510609/","231 W 26th St, Unit 4")</f>
        <v>231 W 26th St, Unit 4</v>
      </c>
      <c r="B1706" s="2" t="str">
        <f>HYPERLINK("https://www.compass.com/building/231-w-26th-st-manhattan-ny-10001/281882863094203013/","231 W 26th St")</f>
        <v>231 W 26th St</v>
      </c>
      <c r="C1706" s="1" t="s">
        <v>62</v>
      </c>
      <c r="D1706" s="1" t="s">
        <v>41</v>
      </c>
      <c r="E1706" s="3">
        <v>8500000</v>
      </c>
      <c r="F1706" s="1">
        <v>6058.4461867426899</v>
      </c>
      <c r="H1706" s="1">
        <v>2</v>
      </c>
      <c r="J1706" s="1">
        <v>2</v>
      </c>
      <c r="K1706" s="1">
        <v>2</v>
      </c>
      <c r="M1706" s="4">
        <v>1403</v>
      </c>
      <c r="N1706" s="1">
        <v>1148</v>
      </c>
      <c r="O1706" s="1">
        <v>2763</v>
      </c>
      <c r="P1706" s="1">
        <v>1615</v>
      </c>
      <c r="Q1706" s="1" t="s">
        <v>42</v>
      </c>
      <c r="S1706" s="1" t="s">
        <v>42</v>
      </c>
      <c r="T1706" s="1" t="s">
        <v>203</v>
      </c>
      <c r="AA1706" s="1">
        <v>8500000</v>
      </c>
      <c r="AB1706" s="1" t="s">
        <v>1268</v>
      </c>
      <c r="AC1706" s="5">
        <v>42156</v>
      </c>
      <c r="AF1706" s="1">
        <v>10001</v>
      </c>
      <c r="AI1706" s="1" t="s">
        <v>60</v>
      </c>
      <c r="AJ1706" s="1">
        <v>2017</v>
      </c>
      <c r="AL1706" s="1">
        <v>7</v>
      </c>
    </row>
    <row r="1707" spans="1:38" x14ac:dyDescent="0.2">
      <c r="A1707" s="2" t="str">
        <f>HYPERLINK("https://www.compass.com/listing/554-east-82nd-street-unit-3-manhattan-ny-10028/29425988622460465/","554 E 82nd St, Unit 3")</f>
        <v>554 E 82nd St, Unit 3</v>
      </c>
      <c r="B1707" s="2" t="str">
        <f>HYPERLINK("https://www.compass.com/building/554-e-82nd-st-manhattan-ny-10028/281987736842381013/","554 E 82nd St")</f>
        <v>554 E 82nd St</v>
      </c>
      <c r="C1707" s="1" t="s">
        <v>53</v>
      </c>
      <c r="D1707" s="1" t="s">
        <v>41</v>
      </c>
      <c r="E1707" s="3">
        <v>4417600</v>
      </c>
      <c r="F1707" s="1">
        <v>1874.2469240559999</v>
      </c>
      <c r="G1707" s="1">
        <v>6</v>
      </c>
      <c r="H1707" s="1">
        <v>4</v>
      </c>
      <c r="I1707" s="1">
        <v>4</v>
      </c>
      <c r="J1707" s="1">
        <v>3.5</v>
      </c>
      <c r="K1707" s="1">
        <v>3</v>
      </c>
      <c r="L1707" s="1">
        <v>1</v>
      </c>
      <c r="M1707" s="4">
        <v>2357</v>
      </c>
      <c r="N1707" s="1">
        <v>3746</v>
      </c>
      <c r="O1707" s="1">
        <v>5536</v>
      </c>
      <c r="P1707" s="1">
        <v>1790</v>
      </c>
      <c r="Q1707" s="1" t="s">
        <v>42</v>
      </c>
      <c r="S1707" s="1" t="s">
        <v>42</v>
      </c>
      <c r="T1707" s="1" t="s">
        <v>203</v>
      </c>
      <c r="U1707" s="1">
        <v>189</v>
      </c>
      <c r="V1707" s="5">
        <v>43680</v>
      </c>
      <c r="W1707" s="5">
        <v>41963</v>
      </c>
      <c r="X1707" s="1">
        <v>4725000</v>
      </c>
      <c r="Y1707" s="1">
        <v>4675000</v>
      </c>
      <c r="Z1707" s="5">
        <v>42152</v>
      </c>
      <c r="AA1707" s="1">
        <v>4417600</v>
      </c>
      <c r="AB1707" s="1" t="s">
        <v>1269</v>
      </c>
      <c r="AC1707" s="5">
        <v>42293</v>
      </c>
      <c r="AF1707" s="1">
        <v>10028</v>
      </c>
      <c r="AI1707" s="1" t="s">
        <v>1270</v>
      </c>
      <c r="AJ1707" s="1">
        <v>2015</v>
      </c>
      <c r="AK1707" s="1" t="s">
        <v>178</v>
      </c>
      <c r="AL1707" s="1">
        <v>4</v>
      </c>
    </row>
    <row r="1708" spans="1:38" x14ac:dyDescent="0.2">
      <c r="A1708" s="2" t="str">
        <f>HYPERLINK("https://www.compass.com/listing/302-east-96th-street-unit-ph1-manhattan-ny-10128/29515122171020417/","302 E 96th St, Unit PH1")</f>
        <v>302 E 96th St, Unit PH1</v>
      </c>
      <c r="B1708" s="2" t="str">
        <f>HYPERLINK("https://www.compass.com/building/302-e-96th-st-manhattan-ny/282050840162756469/","302 E 96th St")</f>
        <v>302 E 96th St</v>
      </c>
      <c r="C1708" s="1" t="s">
        <v>53</v>
      </c>
      <c r="D1708" s="1" t="s">
        <v>41</v>
      </c>
      <c r="E1708" s="3">
        <v>4022088</v>
      </c>
      <c r="F1708" s="1">
        <v>1756.37008733624</v>
      </c>
      <c r="G1708" s="1">
        <v>5</v>
      </c>
      <c r="H1708" s="1">
        <v>3</v>
      </c>
      <c r="I1708" s="1">
        <v>3</v>
      </c>
      <c r="J1708" s="1">
        <v>3</v>
      </c>
      <c r="K1708" s="1">
        <v>3</v>
      </c>
      <c r="M1708" s="4">
        <v>2290</v>
      </c>
      <c r="N1708" s="1">
        <v>2684</v>
      </c>
      <c r="O1708" s="1">
        <v>4575</v>
      </c>
      <c r="P1708" s="1">
        <v>1891</v>
      </c>
      <c r="Q1708" s="1" t="s">
        <v>42</v>
      </c>
      <c r="S1708" s="1" t="s">
        <v>42</v>
      </c>
      <c r="T1708" s="1" t="s">
        <v>203</v>
      </c>
      <c r="V1708" s="5">
        <v>44378</v>
      </c>
      <c r="W1708" s="5">
        <v>43283</v>
      </c>
      <c r="X1708" s="1">
        <v>3950000</v>
      </c>
      <c r="Y1708" s="1">
        <v>3950000</v>
      </c>
      <c r="Z1708" s="5">
        <v>43284</v>
      </c>
      <c r="AA1708" s="1">
        <v>4022087.5</v>
      </c>
      <c r="AB1708" s="1" t="s">
        <v>1271</v>
      </c>
      <c r="AC1708" s="5">
        <v>43588</v>
      </c>
      <c r="AF1708" s="1">
        <v>10128</v>
      </c>
      <c r="AI1708" s="1" t="s">
        <v>1272</v>
      </c>
      <c r="AJ1708" s="1">
        <v>2018</v>
      </c>
      <c r="AK1708" s="1" t="s">
        <v>537</v>
      </c>
      <c r="AL1708" s="1">
        <v>48</v>
      </c>
    </row>
    <row r="1709" spans="1:38" x14ac:dyDescent="0.2">
      <c r="A1709" s="2" t="str">
        <f>HYPERLINK("https://www.compass.com/listing/50-west-30th-street-unit-19a-manhattan-ny-10001/749646250342108545/","50 W 30th St, Unit 19A")</f>
        <v>50 W 30th St, Unit 19A</v>
      </c>
      <c r="B1709" s="2" t="str">
        <f t="shared" ref="B1709:B1742" si="291">HYPERLINK("https://www.compass.com/building/the-noma-manhattan-ny/282058879016139621/","The NOMA")</f>
        <v>The NOMA</v>
      </c>
      <c r="C1709" s="1" t="s">
        <v>95</v>
      </c>
      <c r="D1709" s="1" t="s">
        <v>41</v>
      </c>
      <c r="E1709" s="3">
        <v>2250000</v>
      </c>
      <c r="F1709" s="1">
        <v>1691.7293233082701</v>
      </c>
      <c r="G1709" s="1">
        <v>4.5</v>
      </c>
      <c r="H1709" s="1">
        <v>2</v>
      </c>
      <c r="I1709" s="1">
        <v>2</v>
      </c>
      <c r="J1709" s="1">
        <v>2</v>
      </c>
      <c r="K1709" s="1">
        <v>2</v>
      </c>
      <c r="M1709" s="4">
        <v>1330</v>
      </c>
      <c r="N1709" s="1">
        <v>1626</v>
      </c>
      <c r="O1709" s="1">
        <v>4182</v>
      </c>
      <c r="P1709" s="1">
        <v>2556</v>
      </c>
      <c r="Q1709" s="1" t="s">
        <v>42</v>
      </c>
      <c r="S1709" s="1" t="s">
        <v>42</v>
      </c>
      <c r="T1709" s="1" t="s">
        <v>203</v>
      </c>
      <c r="U1709" s="1">
        <v>41</v>
      </c>
      <c r="V1709" s="5">
        <v>44365</v>
      </c>
      <c r="W1709" s="5">
        <v>44285</v>
      </c>
      <c r="X1709" s="1">
        <v>2345000</v>
      </c>
      <c r="Y1709" s="1">
        <v>2345000</v>
      </c>
      <c r="Z1709" s="5">
        <v>44327</v>
      </c>
      <c r="AA1709" s="1">
        <v>2250000</v>
      </c>
      <c r="AB1709" s="1" t="s">
        <v>1273</v>
      </c>
      <c r="AC1709" s="5">
        <v>44364</v>
      </c>
      <c r="AF1709" s="1">
        <v>10001</v>
      </c>
      <c r="AI1709" s="1" t="s">
        <v>45</v>
      </c>
      <c r="AJ1709" s="1">
        <v>2017</v>
      </c>
      <c r="AK1709" s="1" t="s">
        <v>87</v>
      </c>
      <c r="AL1709" s="1">
        <v>55</v>
      </c>
    </row>
    <row r="1710" spans="1:38" x14ac:dyDescent="0.2">
      <c r="A1710" s="2" t="str">
        <f>HYPERLINK("https://www.compass.com/listing/50-west-30th-street-unit-3e-manhattan-ny-10001/121685368654269537/","50 W 30th St, Unit 3E")</f>
        <v>50 W 30th St, Unit 3E</v>
      </c>
      <c r="B1710" s="2" t="str">
        <f t="shared" si="291"/>
        <v>The NOMA</v>
      </c>
      <c r="C1710" s="1" t="s">
        <v>95</v>
      </c>
      <c r="D1710" s="1" t="s">
        <v>41</v>
      </c>
      <c r="E1710" s="3">
        <v>2300000</v>
      </c>
      <c r="F1710" s="1">
        <v>1735.8490566037699</v>
      </c>
      <c r="G1710" s="1">
        <v>5</v>
      </c>
      <c r="H1710" s="1">
        <v>2</v>
      </c>
      <c r="I1710" s="1">
        <v>2</v>
      </c>
      <c r="J1710" s="1">
        <v>2</v>
      </c>
      <c r="K1710" s="1">
        <v>2</v>
      </c>
      <c r="M1710" s="4">
        <v>1325</v>
      </c>
      <c r="N1710" s="1">
        <v>1698</v>
      </c>
      <c r="O1710" s="1">
        <v>4400</v>
      </c>
      <c r="P1710" s="1">
        <v>2702</v>
      </c>
      <c r="Q1710" s="1" t="s">
        <v>42</v>
      </c>
      <c r="S1710" s="1" t="s">
        <v>42</v>
      </c>
      <c r="T1710" s="1" t="s">
        <v>203</v>
      </c>
      <c r="U1710" s="1">
        <v>336</v>
      </c>
      <c r="V1710" s="5">
        <v>43918</v>
      </c>
      <c r="W1710" s="5">
        <v>43419</v>
      </c>
      <c r="X1710" s="1">
        <v>2495000</v>
      </c>
      <c r="Y1710" s="1">
        <v>2395000</v>
      </c>
      <c r="Z1710" s="5">
        <v>43811</v>
      </c>
      <c r="AA1710" s="1">
        <v>2300000</v>
      </c>
      <c r="AB1710" s="1" t="s">
        <v>1274</v>
      </c>
      <c r="AC1710" s="5">
        <v>43917</v>
      </c>
      <c r="AF1710" s="1">
        <v>10001</v>
      </c>
      <c r="AI1710" s="1" t="s">
        <v>108</v>
      </c>
      <c r="AJ1710" s="1">
        <v>2017</v>
      </c>
      <c r="AK1710" s="1" t="s">
        <v>87</v>
      </c>
      <c r="AL1710" s="1">
        <v>55</v>
      </c>
    </row>
    <row r="1711" spans="1:38" x14ac:dyDescent="0.2">
      <c r="A1711" s="2" t="str">
        <f>HYPERLINK("https://www.compass.com/listing/50-west-30th-street-unit-18a-manhattan-ny-10001/648133868045227321/","50 W 30th St, Unit 18A")</f>
        <v>50 W 30th St, Unit 18A</v>
      </c>
      <c r="B1711" s="2" t="str">
        <f t="shared" si="291"/>
        <v>The NOMA</v>
      </c>
      <c r="C1711" s="1" t="s">
        <v>95</v>
      </c>
      <c r="D1711" s="1" t="s">
        <v>41</v>
      </c>
      <c r="E1711" s="3">
        <v>2189363</v>
      </c>
      <c r="G1711" s="1">
        <v>4.5</v>
      </c>
      <c r="H1711" s="1">
        <v>2</v>
      </c>
      <c r="I1711" s="1">
        <v>2</v>
      </c>
      <c r="J1711" s="1">
        <v>2</v>
      </c>
      <c r="K1711" s="1">
        <v>2</v>
      </c>
      <c r="N1711" s="1">
        <v>1626</v>
      </c>
      <c r="O1711" s="1">
        <v>4182</v>
      </c>
      <c r="P1711" s="1">
        <v>2556</v>
      </c>
      <c r="Q1711" s="1" t="s">
        <v>42</v>
      </c>
      <c r="S1711" s="1" t="s">
        <v>42</v>
      </c>
      <c r="T1711" s="1" t="s">
        <v>203</v>
      </c>
      <c r="V1711" s="5">
        <v>44344</v>
      </c>
      <c r="W1711" s="5">
        <v>44145</v>
      </c>
      <c r="X1711" s="1">
        <v>2295000</v>
      </c>
      <c r="Y1711" s="1">
        <v>2295000</v>
      </c>
      <c r="Z1711" s="5">
        <v>44145</v>
      </c>
      <c r="AA1711" s="1">
        <v>2189362.5</v>
      </c>
      <c r="AB1711" s="1" t="s">
        <v>1275</v>
      </c>
      <c r="AC1711" s="5">
        <v>44341</v>
      </c>
      <c r="AF1711" s="1">
        <v>10001</v>
      </c>
      <c r="AI1711" s="1" t="s">
        <v>45</v>
      </c>
      <c r="AJ1711" s="1">
        <v>2017</v>
      </c>
      <c r="AK1711" s="1" t="s">
        <v>87</v>
      </c>
      <c r="AL1711" s="1">
        <v>55</v>
      </c>
    </row>
    <row r="1712" spans="1:38" x14ac:dyDescent="0.2">
      <c r="A1712" s="2" t="str">
        <f>HYPERLINK("https://www.compass.com/listing/50-west-30th-street-unit-17a-manhattan-ny-10001/621913153325908209/","50 W 30th St, Unit 17A")</f>
        <v>50 W 30th St, Unit 17A</v>
      </c>
      <c r="B1712" s="2" t="str">
        <f t="shared" si="291"/>
        <v>The NOMA</v>
      </c>
      <c r="C1712" s="1" t="s">
        <v>95</v>
      </c>
      <c r="D1712" s="1" t="s">
        <v>41</v>
      </c>
      <c r="E1712" s="3">
        <v>2250000</v>
      </c>
      <c r="F1712" s="1">
        <v>1691.7293233082701</v>
      </c>
      <c r="G1712" s="1">
        <v>4.5</v>
      </c>
      <c r="H1712" s="1">
        <v>2</v>
      </c>
      <c r="I1712" s="1">
        <v>2</v>
      </c>
      <c r="J1712" s="1">
        <v>2</v>
      </c>
      <c r="K1712" s="1">
        <v>2</v>
      </c>
      <c r="M1712" s="4">
        <v>1330</v>
      </c>
      <c r="N1712" s="1">
        <v>1626</v>
      </c>
      <c r="O1712" s="1">
        <v>4182</v>
      </c>
      <c r="P1712" s="1">
        <v>2556</v>
      </c>
      <c r="Q1712" s="1" t="s">
        <v>42</v>
      </c>
      <c r="S1712" s="1" t="s">
        <v>42</v>
      </c>
      <c r="T1712" s="1" t="s">
        <v>203</v>
      </c>
      <c r="U1712" s="1">
        <v>35</v>
      </c>
      <c r="V1712" s="5">
        <v>44159</v>
      </c>
      <c r="W1712" s="5">
        <v>44109</v>
      </c>
      <c r="X1712" s="1">
        <v>2250000</v>
      </c>
      <c r="Y1712" s="1">
        <v>2250000</v>
      </c>
      <c r="Z1712" s="5">
        <v>44145</v>
      </c>
      <c r="AA1712" s="1">
        <v>2250000</v>
      </c>
      <c r="AB1712" s="1" t="s">
        <v>1276</v>
      </c>
      <c r="AC1712" s="5">
        <v>44215</v>
      </c>
      <c r="AF1712" s="1">
        <v>10001</v>
      </c>
      <c r="AI1712" s="1" t="s">
        <v>45</v>
      </c>
      <c r="AJ1712" s="1">
        <v>2017</v>
      </c>
      <c r="AK1712" s="1" t="s">
        <v>87</v>
      </c>
      <c r="AL1712" s="1">
        <v>55</v>
      </c>
    </row>
    <row r="1713" spans="1:38" x14ac:dyDescent="0.2">
      <c r="A1713" s="2" t="str">
        <f>HYPERLINK("https://www.compass.com/listing/50-west-30th-street-unit-16a-manhattan-ny-10001/167378266930297857/","50 W 30th St, Unit 16A")</f>
        <v>50 W 30th St, Unit 16A</v>
      </c>
      <c r="B1713" s="2" t="str">
        <f t="shared" si="291"/>
        <v>The NOMA</v>
      </c>
      <c r="C1713" s="1" t="s">
        <v>95</v>
      </c>
      <c r="D1713" s="1" t="s">
        <v>41</v>
      </c>
      <c r="E1713" s="3">
        <v>2150000</v>
      </c>
      <c r="F1713" s="1">
        <v>1616.5413533834501</v>
      </c>
      <c r="G1713" s="1">
        <v>4</v>
      </c>
      <c r="H1713" s="1">
        <v>2</v>
      </c>
      <c r="I1713" s="1">
        <v>2</v>
      </c>
      <c r="J1713" s="1">
        <v>2</v>
      </c>
      <c r="K1713" s="1">
        <v>2</v>
      </c>
      <c r="M1713" s="4">
        <v>1330</v>
      </c>
      <c r="N1713" s="1">
        <v>1626</v>
      </c>
      <c r="O1713" s="1">
        <v>4182</v>
      </c>
      <c r="P1713" s="1">
        <v>2556</v>
      </c>
      <c r="Q1713" s="1" t="s">
        <v>42</v>
      </c>
      <c r="S1713" s="1" t="s">
        <v>42</v>
      </c>
      <c r="T1713" s="1" t="s">
        <v>203</v>
      </c>
      <c r="U1713" s="1">
        <v>532</v>
      </c>
      <c r="V1713" s="5">
        <v>44288</v>
      </c>
      <c r="W1713" s="5">
        <v>43483</v>
      </c>
      <c r="X1713" s="1">
        <v>2580000</v>
      </c>
      <c r="Y1713" s="1">
        <v>2495000</v>
      </c>
      <c r="AA1713" s="1">
        <v>2150000</v>
      </c>
      <c r="AB1713" s="1" t="s">
        <v>1267</v>
      </c>
      <c r="AC1713" s="5">
        <v>44403</v>
      </c>
      <c r="AF1713" s="1">
        <v>10001</v>
      </c>
      <c r="AI1713" s="1" t="s">
        <v>998</v>
      </c>
      <c r="AJ1713" s="1">
        <v>2017</v>
      </c>
      <c r="AK1713" s="1" t="s">
        <v>87</v>
      </c>
      <c r="AL1713" s="1">
        <v>55</v>
      </c>
    </row>
    <row r="1714" spans="1:38" x14ac:dyDescent="0.2">
      <c r="A1714" s="2" t="str">
        <f>HYPERLINK("https://www.compass.com/listing/50-west-30th-street-unit-9a-manhattan-ny-10001/198638663104473393/","50 W 30th St, Unit 9A")</f>
        <v>50 W 30th St, Unit 9A</v>
      </c>
      <c r="B1714" s="2" t="str">
        <f t="shared" si="291"/>
        <v>The NOMA</v>
      </c>
      <c r="C1714" s="1" t="s">
        <v>95</v>
      </c>
      <c r="D1714" s="1" t="s">
        <v>41</v>
      </c>
      <c r="E1714" s="3">
        <v>2150000</v>
      </c>
      <c r="F1714" s="1">
        <v>1698.26224328594</v>
      </c>
      <c r="G1714" s="1">
        <v>4</v>
      </c>
      <c r="H1714" s="1">
        <v>2</v>
      </c>
      <c r="I1714" s="1">
        <v>2</v>
      </c>
      <c r="J1714" s="1">
        <v>2</v>
      </c>
      <c r="K1714" s="1">
        <v>2</v>
      </c>
      <c r="M1714" s="4">
        <v>1266</v>
      </c>
      <c r="N1714" s="1">
        <v>1548</v>
      </c>
      <c r="O1714" s="1">
        <v>3988</v>
      </c>
      <c r="P1714" s="1">
        <v>2440</v>
      </c>
      <c r="Q1714" s="1" t="s">
        <v>42</v>
      </c>
      <c r="S1714" s="1" t="s">
        <v>42</v>
      </c>
      <c r="T1714" s="1" t="s">
        <v>203</v>
      </c>
      <c r="U1714" s="1">
        <v>656</v>
      </c>
      <c r="V1714" s="5">
        <v>44406</v>
      </c>
      <c r="W1714" s="5">
        <v>43525</v>
      </c>
      <c r="X1714" s="1">
        <v>2275000</v>
      </c>
      <c r="Y1714" s="1">
        <v>2195000</v>
      </c>
      <c r="Z1714" s="5">
        <v>44384</v>
      </c>
      <c r="AA1714" s="1">
        <v>2150000</v>
      </c>
      <c r="AB1714" s="1" t="s">
        <v>204</v>
      </c>
      <c r="AC1714" s="5">
        <v>44405</v>
      </c>
      <c r="AF1714" s="1">
        <v>10001</v>
      </c>
      <c r="AI1714" s="1" t="s">
        <v>45</v>
      </c>
      <c r="AJ1714" s="1">
        <v>2017</v>
      </c>
      <c r="AK1714" s="1" t="s">
        <v>87</v>
      </c>
      <c r="AL1714" s="1">
        <v>55</v>
      </c>
    </row>
    <row r="1715" spans="1:38" x14ac:dyDescent="0.2">
      <c r="A1715" s="2" t="str">
        <f>HYPERLINK("https://www.compass.com/listing/50-west-30th-street-unit-6a-manhattan-ny-10001/29374838481221105/","50 W 30th St, Unit 6A")</f>
        <v>50 W 30th St, Unit 6A</v>
      </c>
      <c r="B1715" s="2" t="str">
        <f t="shared" si="291"/>
        <v>The NOMA</v>
      </c>
      <c r="C1715" s="1" t="s">
        <v>95</v>
      </c>
      <c r="D1715" s="1" t="s">
        <v>41</v>
      </c>
      <c r="E1715" s="3">
        <v>2425000</v>
      </c>
      <c r="F1715" s="1">
        <v>1915.4818325434401</v>
      </c>
      <c r="G1715" s="1">
        <v>4</v>
      </c>
      <c r="H1715" s="1">
        <v>2</v>
      </c>
      <c r="I1715" s="1">
        <v>2</v>
      </c>
      <c r="J1715" s="1">
        <v>2</v>
      </c>
      <c r="K1715" s="1">
        <v>2</v>
      </c>
      <c r="M1715" s="4">
        <v>1266</v>
      </c>
      <c r="N1715" s="1">
        <v>1553</v>
      </c>
      <c r="O1715" s="1">
        <v>3551</v>
      </c>
      <c r="P1715" s="1">
        <v>1998</v>
      </c>
      <c r="Q1715" s="1" t="s">
        <v>42</v>
      </c>
      <c r="S1715" s="1" t="s">
        <v>42</v>
      </c>
      <c r="T1715" s="1" t="s">
        <v>203</v>
      </c>
      <c r="U1715" s="1">
        <v>211</v>
      </c>
      <c r="V1715" s="5">
        <v>43648</v>
      </c>
      <c r="W1715" s="5">
        <v>42500</v>
      </c>
      <c r="X1715" s="1">
        <v>2425000</v>
      </c>
      <c r="Y1715" s="1">
        <v>2425000</v>
      </c>
      <c r="Z1715" s="5">
        <v>42711</v>
      </c>
      <c r="AA1715" s="1">
        <v>2425000</v>
      </c>
      <c r="AB1715" s="1" t="s">
        <v>1277</v>
      </c>
      <c r="AC1715" s="5">
        <v>43241</v>
      </c>
      <c r="AF1715" s="1">
        <v>10001</v>
      </c>
      <c r="AI1715" s="1" t="s">
        <v>45</v>
      </c>
      <c r="AJ1715" s="1">
        <v>2017</v>
      </c>
      <c r="AK1715" s="1" t="s">
        <v>87</v>
      </c>
      <c r="AL1715" s="1">
        <v>55</v>
      </c>
    </row>
    <row r="1716" spans="1:38" x14ac:dyDescent="0.2">
      <c r="A1716" s="2" t="str">
        <f>HYPERLINK("https://www.compass.com/listing/50-west-30th-street-unit-7a-manhattan-ny-10001/29514433868935937/","50 W 30th St, Unit 7A")</f>
        <v>50 W 30th St, Unit 7A</v>
      </c>
      <c r="B1716" s="2" t="str">
        <f t="shared" si="291"/>
        <v>The NOMA</v>
      </c>
      <c r="C1716" s="1" t="s">
        <v>95</v>
      </c>
      <c r="D1716" s="1" t="s">
        <v>41</v>
      </c>
      <c r="E1716" s="3">
        <v>2155000</v>
      </c>
      <c r="F1716" s="1">
        <v>1702.21169036334</v>
      </c>
      <c r="G1716" s="1">
        <v>4</v>
      </c>
      <c r="H1716" s="1">
        <v>2</v>
      </c>
      <c r="I1716" s="1">
        <v>2</v>
      </c>
      <c r="J1716" s="1">
        <v>2</v>
      </c>
      <c r="K1716" s="1">
        <v>2</v>
      </c>
      <c r="M1716" s="4">
        <v>1266</v>
      </c>
      <c r="N1716" s="1">
        <v>1548</v>
      </c>
      <c r="O1716" s="1">
        <v>3998</v>
      </c>
      <c r="P1716" s="1">
        <v>2450</v>
      </c>
      <c r="Q1716" s="1" t="s">
        <v>42</v>
      </c>
      <c r="S1716" s="1" t="s">
        <v>42</v>
      </c>
      <c r="T1716" s="1" t="s">
        <v>203</v>
      </c>
      <c r="U1716" s="1">
        <v>144</v>
      </c>
      <c r="V1716" s="5">
        <v>44280</v>
      </c>
      <c r="W1716" s="5">
        <v>43256</v>
      </c>
      <c r="X1716" s="1">
        <v>2295000</v>
      </c>
      <c r="Y1716" s="1">
        <v>2195000</v>
      </c>
      <c r="Z1716" s="5">
        <v>43400</v>
      </c>
      <c r="AA1716" s="1">
        <v>2155000</v>
      </c>
      <c r="AB1716" s="1" t="s">
        <v>1278</v>
      </c>
      <c r="AC1716" s="5">
        <v>43455</v>
      </c>
      <c r="AF1716" s="1">
        <v>10001</v>
      </c>
      <c r="AI1716" s="1" t="s">
        <v>45</v>
      </c>
      <c r="AJ1716" s="1">
        <v>2017</v>
      </c>
      <c r="AK1716" s="1" t="s">
        <v>87</v>
      </c>
      <c r="AL1716" s="1">
        <v>55</v>
      </c>
    </row>
    <row r="1717" spans="1:38" x14ac:dyDescent="0.2">
      <c r="A1717" s="2" t="str">
        <f>HYPERLINK("https://www.compass.com/listing/50-west-30th-street-unit-8a-manhattan-ny-10001/4331600338764577/","50 W 30th St, Unit 8A")</f>
        <v>50 W 30th St, Unit 8A</v>
      </c>
      <c r="B1717" s="2" t="str">
        <f t="shared" si="291"/>
        <v>The NOMA</v>
      </c>
      <c r="C1717" s="1" t="s">
        <v>95</v>
      </c>
      <c r="D1717" s="1" t="s">
        <v>41</v>
      </c>
      <c r="E1717" s="3">
        <v>2215000</v>
      </c>
      <c r="F1717" s="1">
        <v>1749.60505529225</v>
      </c>
      <c r="G1717" s="1">
        <v>4</v>
      </c>
      <c r="H1717" s="1">
        <v>2</v>
      </c>
      <c r="I1717" s="1">
        <v>2</v>
      </c>
      <c r="J1717" s="1">
        <v>2</v>
      </c>
      <c r="K1717" s="1">
        <v>2</v>
      </c>
      <c r="M1717" s="4">
        <v>1266</v>
      </c>
      <c r="N1717" s="1">
        <v>1548</v>
      </c>
      <c r="O1717" s="1">
        <v>3546</v>
      </c>
      <c r="P1717" s="1">
        <v>1998</v>
      </c>
      <c r="Q1717" s="1" t="s">
        <v>42</v>
      </c>
      <c r="S1717" s="1" t="s">
        <v>42</v>
      </c>
      <c r="T1717" s="1" t="s">
        <v>203</v>
      </c>
      <c r="V1717" s="5">
        <v>43640</v>
      </c>
      <c r="W1717" s="5">
        <v>43411</v>
      </c>
      <c r="X1717" s="1">
        <v>2295000</v>
      </c>
      <c r="Y1717" s="1">
        <v>2295000</v>
      </c>
      <c r="Z1717" s="5">
        <v>43411</v>
      </c>
      <c r="AA1717" s="1">
        <v>2215000</v>
      </c>
      <c r="AB1717" s="1" t="s">
        <v>1279</v>
      </c>
      <c r="AC1717" s="5">
        <v>43453</v>
      </c>
      <c r="AF1717" s="1">
        <v>10001</v>
      </c>
      <c r="AI1717" s="1" t="s">
        <v>45</v>
      </c>
      <c r="AJ1717" s="1">
        <v>2017</v>
      </c>
      <c r="AK1717" s="1" t="s">
        <v>87</v>
      </c>
      <c r="AL1717" s="1">
        <v>55</v>
      </c>
    </row>
    <row r="1718" spans="1:38" x14ac:dyDescent="0.2">
      <c r="A1718" s="2" t="str">
        <f>HYPERLINK("https://www.compass.com/listing/50-west-30th-street-unit-6b-manhattan-ny-10001/29514437056530673/","50 W 30th St, Unit 6B")</f>
        <v>50 W 30th St, Unit 6B</v>
      </c>
      <c r="B1718" s="2" t="str">
        <f t="shared" si="291"/>
        <v>The NOMA</v>
      </c>
      <c r="C1718" s="1" t="s">
        <v>95</v>
      </c>
      <c r="D1718" s="1" t="s">
        <v>41</v>
      </c>
      <c r="E1718" s="3">
        <v>1377738</v>
      </c>
      <c r="F1718" s="1">
        <v>1979.5086206896499</v>
      </c>
      <c r="G1718" s="1">
        <v>3</v>
      </c>
      <c r="H1718" s="1">
        <v>1</v>
      </c>
      <c r="I1718" s="1">
        <v>1</v>
      </c>
      <c r="J1718" s="1">
        <v>1</v>
      </c>
      <c r="K1718" s="1">
        <v>1</v>
      </c>
      <c r="M1718" s="1">
        <v>696</v>
      </c>
      <c r="N1718" s="1">
        <v>854</v>
      </c>
      <c r="O1718" s="1">
        <v>1953</v>
      </c>
      <c r="P1718" s="1">
        <v>1099</v>
      </c>
      <c r="Q1718" s="1" t="s">
        <v>42</v>
      </c>
      <c r="S1718" s="1" t="s">
        <v>42</v>
      </c>
      <c r="T1718" s="1" t="s">
        <v>203</v>
      </c>
      <c r="V1718" s="5">
        <v>43647</v>
      </c>
      <c r="W1718" s="5">
        <v>42528</v>
      </c>
      <c r="X1718" s="1">
        <v>1375000</v>
      </c>
      <c r="Y1718" s="1">
        <v>1375000</v>
      </c>
      <c r="Z1718" s="5">
        <v>42528</v>
      </c>
      <c r="AA1718" s="1">
        <v>1377738</v>
      </c>
      <c r="AB1718" s="1" t="s">
        <v>1280</v>
      </c>
      <c r="AC1718" s="5">
        <v>43301</v>
      </c>
      <c r="AF1718" s="1">
        <v>10001</v>
      </c>
      <c r="AI1718" s="1" t="s">
        <v>45</v>
      </c>
      <c r="AJ1718" s="1">
        <v>2017</v>
      </c>
      <c r="AK1718" s="1" t="s">
        <v>87</v>
      </c>
      <c r="AL1718" s="1">
        <v>55</v>
      </c>
    </row>
    <row r="1719" spans="1:38" x14ac:dyDescent="0.2">
      <c r="A1719" s="2" t="str">
        <f>HYPERLINK("https://www.compass.com/listing/50-west-30th-street-unit-4e-manhattan-ny-10001/130096352074925713/","50 W 30th St, Unit 4E")</f>
        <v>50 W 30th St, Unit 4E</v>
      </c>
      <c r="B1719" s="2" t="str">
        <f t="shared" si="291"/>
        <v>The NOMA</v>
      </c>
      <c r="C1719" s="1" t="s">
        <v>95</v>
      </c>
      <c r="D1719" s="1" t="s">
        <v>41</v>
      </c>
      <c r="E1719" s="3">
        <v>2265000</v>
      </c>
      <c r="F1719" s="1">
        <v>1709.4339622641501</v>
      </c>
      <c r="G1719" s="1">
        <v>5</v>
      </c>
      <c r="H1719" s="1">
        <v>2</v>
      </c>
      <c r="I1719" s="1">
        <v>2</v>
      </c>
      <c r="J1719" s="1">
        <v>2</v>
      </c>
      <c r="K1719" s="1">
        <v>2</v>
      </c>
      <c r="M1719" s="4">
        <v>1325</v>
      </c>
      <c r="N1719" s="1">
        <v>1620</v>
      </c>
      <c r="O1719" s="1">
        <v>4204</v>
      </c>
      <c r="P1719" s="1">
        <v>2584</v>
      </c>
      <c r="Q1719" s="1" t="s">
        <v>42</v>
      </c>
      <c r="S1719" s="1" t="s">
        <v>42</v>
      </c>
      <c r="T1719" s="1" t="s">
        <v>203</v>
      </c>
      <c r="U1719" s="1">
        <v>267</v>
      </c>
      <c r="V1719" s="5">
        <v>43918</v>
      </c>
      <c r="W1719" s="5">
        <v>43432</v>
      </c>
      <c r="X1719" s="1">
        <v>2395000</v>
      </c>
      <c r="Y1719" s="1">
        <v>2265000</v>
      </c>
      <c r="Z1719" s="5">
        <v>43859</v>
      </c>
      <c r="AA1719" s="1">
        <v>2265000</v>
      </c>
      <c r="AB1719" s="1" t="s">
        <v>1281</v>
      </c>
      <c r="AC1719" s="5">
        <v>43917</v>
      </c>
      <c r="AF1719" s="1">
        <v>10001</v>
      </c>
      <c r="AI1719" s="1" t="s">
        <v>45</v>
      </c>
      <c r="AJ1719" s="1">
        <v>2017</v>
      </c>
      <c r="AK1719" s="1" t="s">
        <v>87</v>
      </c>
      <c r="AL1719" s="1">
        <v>55</v>
      </c>
    </row>
    <row r="1720" spans="1:38" x14ac:dyDescent="0.2">
      <c r="A1720" s="2" t="str">
        <f>HYPERLINK("https://www.compass.com/listing/50-west-30th-street-unit-13b-manhattan-ny-10001/29514436343533489/","50 W 30th St, Unit 13B")</f>
        <v>50 W 30th St, Unit 13B</v>
      </c>
      <c r="B1720" s="2" t="str">
        <f t="shared" si="291"/>
        <v>The NOMA</v>
      </c>
      <c r="C1720" s="1" t="s">
        <v>95</v>
      </c>
      <c r="D1720" s="1" t="s">
        <v>41</v>
      </c>
      <c r="E1720" s="3">
        <v>1575000</v>
      </c>
      <c r="F1720" s="1">
        <v>2262.93103448275</v>
      </c>
      <c r="G1720" s="1">
        <v>3</v>
      </c>
      <c r="H1720" s="1">
        <v>1</v>
      </c>
      <c r="I1720" s="1">
        <v>1</v>
      </c>
      <c r="J1720" s="1">
        <v>1</v>
      </c>
      <c r="K1720" s="1">
        <v>1</v>
      </c>
      <c r="M1720" s="1">
        <v>696</v>
      </c>
      <c r="N1720" s="1">
        <v>854</v>
      </c>
      <c r="O1720" s="1">
        <v>1953</v>
      </c>
      <c r="P1720" s="1">
        <v>1099</v>
      </c>
      <c r="Q1720" s="1" t="s">
        <v>42</v>
      </c>
      <c r="S1720" s="1" t="s">
        <v>42</v>
      </c>
      <c r="T1720" s="1" t="s">
        <v>203</v>
      </c>
      <c r="U1720" s="1">
        <v>120</v>
      </c>
      <c r="V1720" s="5">
        <v>43640</v>
      </c>
      <c r="W1720" s="5">
        <v>42585</v>
      </c>
      <c r="X1720" s="1">
        <v>1575000</v>
      </c>
      <c r="Y1720" s="1">
        <v>1575000</v>
      </c>
      <c r="Z1720" s="5">
        <v>42705</v>
      </c>
      <c r="AA1720" s="1">
        <v>1575000</v>
      </c>
      <c r="AB1720" s="1" t="s">
        <v>1282</v>
      </c>
      <c r="AC1720" s="5">
        <v>43326</v>
      </c>
      <c r="AF1720" s="1">
        <v>10001</v>
      </c>
      <c r="AI1720" s="1" t="s">
        <v>45</v>
      </c>
      <c r="AJ1720" s="1">
        <v>2017</v>
      </c>
      <c r="AK1720" s="1" t="s">
        <v>87</v>
      </c>
      <c r="AL1720" s="1">
        <v>55</v>
      </c>
    </row>
    <row r="1721" spans="1:38" x14ac:dyDescent="0.2">
      <c r="A1721" s="2" t="str">
        <f>HYPERLINK("https://www.compass.com/listing/50-west-30th-street-unit-4a-manhattan-ny-10001/29514438121960321/","50 W 30th St, Unit 4A")</f>
        <v>50 W 30th St, Unit 4A</v>
      </c>
      <c r="B1721" s="2" t="str">
        <f t="shared" si="291"/>
        <v>The NOMA</v>
      </c>
      <c r="C1721" s="1" t="s">
        <v>95</v>
      </c>
      <c r="D1721" s="1" t="s">
        <v>41</v>
      </c>
      <c r="E1721" s="3">
        <v>1480000</v>
      </c>
      <c r="F1721" s="1">
        <v>1785.2834740651299</v>
      </c>
      <c r="G1721" s="1">
        <v>2</v>
      </c>
      <c r="H1721" s="1">
        <v>1</v>
      </c>
      <c r="I1721" s="1">
        <v>1</v>
      </c>
      <c r="J1721" s="1">
        <v>1</v>
      </c>
      <c r="K1721" s="1">
        <v>1</v>
      </c>
      <c r="M1721" s="1">
        <v>829</v>
      </c>
      <c r="N1721" s="1">
        <v>1017</v>
      </c>
      <c r="O1721" s="1">
        <v>2325</v>
      </c>
      <c r="P1721" s="1">
        <v>1308</v>
      </c>
      <c r="Q1721" s="1" t="s">
        <v>42</v>
      </c>
      <c r="S1721" s="1" t="s">
        <v>42</v>
      </c>
      <c r="T1721" s="1" t="s">
        <v>203</v>
      </c>
      <c r="U1721" s="1">
        <v>205</v>
      </c>
      <c r="V1721" s="5">
        <v>43648</v>
      </c>
      <c r="W1721" s="5">
        <v>42500</v>
      </c>
      <c r="X1721" s="1">
        <v>1480000</v>
      </c>
      <c r="Y1721" s="1">
        <v>1480000</v>
      </c>
      <c r="Z1721" s="5">
        <v>42705</v>
      </c>
      <c r="AA1721" s="1">
        <v>1480000</v>
      </c>
      <c r="AB1721" s="1" t="s">
        <v>1283</v>
      </c>
      <c r="AC1721" s="5">
        <v>43279</v>
      </c>
      <c r="AF1721" s="1">
        <v>10001</v>
      </c>
      <c r="AI1721" s="1" t="s">
        <v>45</v>
      </c>
      <c r="AJ1721" s="1">
        <v>2017</v>
      </c>
      <c r="AK1721" s="1" t="s">
        <v>87</v>
      </c>
      <c r="AL1721" s="1">
        <v>55</v>
      </c>
    </row>
    <row r="1722" spans="1:38" x14ac:dyDescent="0.2">
      <c r="A1722" s="2" t="str">
        <f>HYPERLINK("https://www.compass.com/listing/50-west-30th-street-unit-19b-manhattan-ny-10001/803310090316403865/","50 W 30th St, Unit 19B")</f>
        <v>50 W 30th St, Unit 19B</v>
      </c>
      <c r="B1722" s="2" t="str">
        <f t="shared" si="291"/>
        <v>The NOMA</v>
      </c>
      <c r="C1722" s="1" t="s">
        <v>95</v>
      </c>
      <c r="D1722" s="1" t="s">
        <v>41</v>
      </c>
      <c r="E1722" s="3">
        <v>2291063</v>
      </c>
      <c r="F1722" s="1">
        <v>1748.9026717557199</v>
      </c>
      <c r="G1722" s="1">
        <v>4</v>
      </c>
      <c r="H1722" s="1">
        <v>2</v>
      </c>
      <c r="I1722" s="1">
        <v>3</v>
      </c>
      <c r="J1722" s="1">
        <v>2.5</v>
      </c>
      <c r="K1722" s="1">
        <v>2</v>
      </c>
      <c r="L1722" s="1">
        <v>1</v>
      </c>
      <c r="M1722" s="4">
        <v>1310</v>
      </c>
      <c r="N1722" s="1">
        <v>1630</v>
      </c>
      <c r="O1722" s="1">
        <v>4200</v>
      </c>
      <c r="P1722" s="1">
        <v>2570</v>
      </c>
      <c r="Q1722" s="1" t="s">
        <v>42</v>
      </c>
      <c r="S1722" s="1" t="s">
        <v>42</v>
      </c>
      <c r="T1722" s="1" t="s">
        <v>203</v>
      </c>
      <c r="V1722" s="5">
        <v>44317</v>
      </c>
      <c r="W1722" s="5">
        <v>44200</v>
      </c>
      <c r="X1722" s="1">
        <v>2395000</v>
      </c>
      <c r="Y1722" s="1">
        <v>2395000</v>
      </c>
      <c r="Z1722" s="5">
        <v>44201</v>
      </c>
      <c r="AA1722" s="1">
        <v>2291062.5</v>
      </c>
      <c r="AB1722" s="1" t="s">
        <v>1284</v>
      </c>
      <c r="AC1722" s="5">
        <v>44300</v>
      </c>
      <c r="AF1722" s="1">
        <v>10001</v>
      </c>
      <c r="AI1722" s="1" t="s">
        <v>127</v>
      </c>
      <c r="AJ1722" s="1">
        <v>2017</v>
      </c>
      <c r="AK1722" s="1" t="s">
        <v>87</v>
      </c>
      <c r="AL1722" s="1">
        <v>55</v>
      </c>
    </row>
    <row r="1723" spans="1:38" x14ac:dyDescent="0.2">
      <c r="A1723" s="2" t="str">
        <f>HYPERLINK("https://www.compass.com/listing/50-west-30th-street-unit-18b-manhattan-ny-10001/803338347502071345/","50 W 30th St, Unit 18B")</f>
        <v>50 W 30th St, Unit 18B</v>
      </c>
      <c r="B1723" s="2" t="str">
        <f t="shared" si="291"/>
        <v>The NOMA</v>
      </c>
      <c r="C1723" s="1" t="s">
        <v>95</v>
      </c>
      <c r="D1723" s="1" t="s">
        <v>41</v>
      </c>
      <c r="E1723" s="3">
        <v>2265606</v>
      </c>
      <c r="F1723" s="1">
        <v>1729.47041984732</v>
      </c>
      <c r="G1723" s="1">
        <v>4</v>
      </c>
      <c r="H1723" s="1">
        <v>2</v>
      </c>
      <c r="I1723" s="1">
        <v>3</v>
      </c>
      <c r="J1723" s="1">
        <v>2.5</v>
      </c>
      <c r="K1723" s="1">
        <v>2</v>
      </c>
      <c r="L1723" s="1">
        <v>1</v>
      </c>
      <c r="M1723" s="4">
        <v>1310</v>
      </c>
      <c r="N1723" s="1">
        <v>1630</v>
      </c>
      <c r="O1723" s="1">
        <v>4200</v>
      </c>
      <c r="P1723" s="1">
        <v>2570</v>
      </c>
      <c r="Q1723" s="1" t="s">
        <v>42</v>
      </c>
      <c r="S1723" s="1" t="s">
        <v>42</v>
      </c>
      <c r="T1723" s="1" t="s">
        <v>203</v>
      </c>
      <c r="V1723" s="5">
        <v>44266</v>
      </c>
      <c r="W1723" s="5">
        <v>44200</v>
      </c>
      <c r="X1723" s="1">
        <v>2350000</v>
      </c>
      <c r="Y1723" s="1">
        <v>2350000</v>
      </c>
      <c r="Z1723" s="5">
        <v>44200</v>
      </c>
      <c r="AA1723" s="1">
        <v>2265606.25</v>
      </c>
      <c r="AB1723" s="1" t="s">
        <v>1285</v>
      </c>
      <c r="AC1723" s="5">
        <v>44264</v>
      </c>
      <c r="AF1723" s="1">
        <v>10001</v>
      </c>
      <c r="AI1723" s="1" t="s">
        <v>127</v>
      </c>
      <c r="AJ1723" s="1">
        <v>2017</v>
      </c>
      <c r="AK1723" s="1" t="s">
        <v>87</v>
      </c>
      <c r="AL1723" s="1">
        <v>55</v>
      </c>
    </row>
    <row r="1724" spans="1:38" x14ac:dyDescent="0.2">
      <c r="A1724" s="2" t="str">
        <f>HYPERLINK("https://www.compass.com/listing/50-west-30th-street-unit-14b-manhattan-ny-10001/130084860780873217/","50 W 30th St, Unit 14B")</f>
        <v>50 W 30th St, Unit 14B</v>
      </c>
      <c r="B1724" s="2" t="str">
        <f t="shared" si="291"/>
        <v>The NOMA</v>
      </c>
      <c r="C1724" s="1" t="s">
        <v>95</v>
      </c>
      <c r="D1724" s="1" t="s">
        <v>41</v>
      </c>
      <c r="E1724" s="3">
        <v>2400000</v>
      </c>
      <c r="F1724" s="1">
        <v>1832.06106870229</v>
      </c>
      <c r="G1724" s="1">
        <v>4.5</v>
      </c>
      <c r="H1724" s="1">
        <v>2</v>
      </c>
      <c r="I1724" s="1">
        <v>3</v>
      </c>
      <c r="J1724" s="1">
        <v>2.5</v>
      </c>
      <c r="K1724" s="1">
        <v>2</v>
      </c>
      <c r="L1724" s="1">
        <v>1</v>
      </c>
      <c r="M1724" s="4">
        <v>1310</v>
      </c>
      <c r="N1724" s="1">
        <v>1630</v>
      </c>
      <c r="O1724" s="1">
        <v>3734</v>
      </c>
      <c r="P1724" s="1">
        <v>2104</v>
      </c>
      <c r="Q1724" s="1" t="s">
        <v>42</v>
      </c>
      <c r="S1724" s="1" t="s">
        <v>42</v>
      </c>
      <c r="T1724" s="1" t="s">
        <v>203</v>
      </c>
      <c r="U1724" s="1">
        <v>37</v>
      </c>
      <c r="V1724" s="5">
        <v>43645</v>
      </c>
      <c r="W1724" s="5">
        <v>43431</v>
      </c>
      <c r="X1724" s="1">
        <v>2475000</v>
      </c>
      <c r="Y1724" s="1">
        <v>2475000</v>
      </c>
      <c r="Z1724" s="5">
        <v>43468</v>
      </c>
      <c r="AA1724" s="1">
        <v>2400000</v>
      </c>
      <c r="AB1724" s="1" t="s">
        <v>1286</v>
      </c>
      <c r="AC1724" s="5">
        <v>43487</v>
      </c>
      <c r="AF1724" s="1">
        <v>10001</v>
      </c>
      <c r="AI1724" s="1" t="s">
        <v>127</v>
      </c>
      <c r="AJ1724" s="1">
        <v>2017</v>
      </c>
      <c r="AK1724" s="1" t="s">
        <v>87</v>
      </c>
      <c r="AL1724" s="1">
        <v>55</v>
      </c>
    </row>
    <row r="1725" spans="1:38" x14ac:dyDescent="0.2">
      <c r="A1725" s="2" t="str">
        <f>HYPERLINK("https://www.compass.com/listing/50-west-30th-street-unit-7c-manhattan-ny-10001/29374841048135169/","50 W 30th St, Unit 7C")</f>
        <v>50 W 30th St, Unit 7C</v>
      </c>
      <c r="B1725" s="2" t="str">
        <f t="shared" si="291"/>
        <v>The NOMA</v>
      </c>
      <c r="C1725" s="1" t="s">
        <v>95</v>
      </c>
      <c r="D1725" s="1" t="s">
        <v>41</v>
      </c>
      <c r="E1725" s="3">
        <v>1474121</v>
      </c>
      <c r="F1725" s="1">
        <v>2171.0176730486</v>
      </c>
      <c r="G1725" s="1">
        <v>2</v>
      </c>
      <c r="H1725" s="1">
        <v>1</v>
      </c>
      <c r="I1725" s="1">
        <v>1</v>
      </c>
      <c r="J1725" s="1">
        <v>1</v>
      </c>
      <c r="K1725" s="1">
        <v>1</v>
      </c>
      <c r="M1725" s="1">
        <v>679</v>
      </c>
      <c r="N1725" s="1">
        <v>861</v>
      </c>
      <c r="O1725" s="1">
        <v>1969</v>
      </c>
      <c r="P1725" s="1">
        <v>1108</v>
      </c>
      <c r="Q1725" s="1" t="s">
        <v>42</v>
      </c>
      <c r="S1725" s="1" t="s">
        <v>42</v>
      </c>
      <c r="T1725" s="1" t="s">
        <v>203</v>
      </c>
      <c r="V1725" s="5">
        <v>43640</v>
      </c>
      <c r="W1725" s="5">
        <v>42741</v>
      </c>
      <c r="X1725" s="1">
        <v>1445000</v>
      </c>
      <c r="Y1725" s="1">
        <v>1445000</v>
      </c>
      <c r="Z1725" s="5">
        <v>42741</v>
      </c>
      <c r="AA1725" s="1">
        <v>1474121</v>
      </c>
      <c r="AB1725" s="1" t="s">
        <v>1287</v>
      </c>
      <c r="AC1725" s="5">
        <v>43221</v>
      </c>
      <c r="AF1725" s="1">
        <v>10001</v>
      </c>
      <c r="AI1725" s="1" t="s">
        <v>127</v>
      </c>
      <c r="AJ1725" s="1">
        <v>2017</v>
      </c>
      <c r="AK1725" s="1" t="s">
        <v>87</v>
      </c>
      <c r="AL1725" s="1">
        <v>55</v>
      </c>
    </row>
    <row r="1726" spans="1:38" x14ac:dyDescent="0.2">
      <c r="A1726" s="2" t="str">
        <f>HYPERLINK("https://www.compass.com/listing/50-west-30th-street-unit-14a-manhattan-ny-10001/29514439162147761/","50 W 30th St, Unit 14A")</f>
        <v>50 W 30th St, Unit 14A</v>
      </c>
      <c r="B1726" s="2" t="str">
        <f t="shared" si="291"/>
        <v>The NOMA</v>
      </c>
      <c r="C1726" s="1" t="s">
        <v>95</v>
      </c>
      <c r="D1726" s="1" t="s">
        <v>41</v>
      </c>
      <c r="E1726" s="3">
        <v>2575000</v>
      </c>
      <c r="F1726" s="1">
        <v>1936.0902255639</v>
      </c>
      <c r="G1726" s="1">
        <v>4</v>
      </c>
      <c r="H1726" s="1">
        <v>2</v>
      </c>
      <c r="I1726" s="1">
        <v>2</v>
      </c>
      <c r="J1726" s="1">
        <v>2</v>
      </c>
      <c r="K1726" s="1">
        <v>2</v>
      </c>
      <c r="M1726" s="4">
        <v>1330</v>
      </c>
      <c r="N1726" s="1">
        <v>1631</v>
      </c>
      <c r="O1726" s="1">
        <v>3730</v>
      </c>
      <c r="P1726" s="1">
        <v>2099</v>
      </c>
      <c r="Q1726" s="1" t="s">
        <v>42</v>
      </c>
      <c r="S1726" s="1" t="s">
        <v>42</v>
      </c>
      <c r="T1726" s="1" t="s">
        <v>203</v>
      </c>
      <c r="U1726" s="1">
        <v>131</v>
      </c>
      <c r="V1726" s="5">
        <v>43644</v>
      </c>
      <c r="W1726" s="5">
        <v>43244</v>
      </c>
      <c r="X1726" s="1">
        <v>2820000</v>
      </c>
      <c r="Y1726" s="1">
        <v>2670000</v>
      </c>
      <c r="Z1726" s="5">
        <v>43375</v>
      </c>
      <c r="AA1726" s="1">
        <v>2575000</v>
      </c>
      <c r="AB1726" s="1" t="s">
        <v>1288</v>
      </c>
      <c r="AC1726" s="5">
        <v>43417</v>
      </c>
      <c r="AF1726" s="1">
        <v>10001</v>
      </c>
      <c r="AI1726" s="1" t="s">
        <v>45</v>
      </c>
      <c r="AJ1726" s="1">
        <v>2017</v>
      </c>
      <c r="AK1726" s="1" t="s">
        <v>87</v>
      </c>
      <c r="AL1726" s="1">
        <v>55</v>
      </c>
    </row>
    <row r="1727" spans="1:38" x14ac:dyDescent="0.2">
      <c r="A1727" s="2" t="str">
        <f>HYPERLINK("https://www.compass.com/listing/50-west-30th-street-unit-4d-manhattan-ny-10001/29514438457428257/","50 W 30th St, Unit 4D")</f>
        <v>50 W 30th St, Unit 4D</v>
      </c>
      <c r="B1727" s="2" t="str">
        <f t="shared" si="291"/>
        <v>The NOMA</v>
      </c>
      <c r="C1727" s="1" t="s">
        <v>95</v>
      </c>
      <c r="D1727" s="1" t="s">
        <v>41</v>
      </c>
      <c r="E1727" s="3">
        <v>1897155</v>
      </c>
      <c r="F1727" s="1">
        <v>1887.71641791044</v>
      </c>
      <c r="G1727" s="1">
        <v>3</v>
      </c>
      <c r="H1727" s="1">
        <v>1</v>
      </c>
      <c r="I1727" s="1">
        <v>2</v>
      </c>
      <c r="J1727" s="1">
        <v>2</v>
      </c>
      <c r="K1727" s="1">
        <v>2</v>
      </c>
      <c r="M1727" s="4">
        <v>1005</v>
      </c>
      <c r="N1727" s="1">
        <v>1233</v>
      </c>
      <c r="O1727" s="1">
        <v>2819</v>
      </c>
      <c r="P1727" s="1">
        <v>1586</v>
      </c>
      <c r="Q1727" s="1" t="s">
        <v>42</v>
      </c>
      <c r="S1727" s="1" t="s">
        <v>42</v>
      </c>
      <c r="T1727" s="1" t="s">
        <v>203</v>
      </c>
      <c r="U1727" s="1">
        <v>184</v>
      </c>
      <c r="V1727" s="5">
        <v>43647</v>
      </c>
      <c r="W1727" s="5">
        <v>42500</v>
      </c>
      <c r="X1727" s="1">
        <v>1880000</v>
      </c>
      <c r="Y1727" s="1">
        <v>1880000</v>
      </c>
      <c r="Z1727" s="5">
        <v>42684</v>
      </c>
      <c r="AA1727" s="1">
        <v>1897155</v>
      </c>
      <c r="AB1727" s="1" t="s">
        <v>1289</v>
      </c>
      <c r="AC1727" s="5">
        <v>43329</v>
      </c>
      <c r="AF1727" s="1">
        <v>10001</v>
      </c>
      <c r="AI1727" s="1" t="s">
        <v>45</v>
      </c>
      <c r="AJ1727" s="1">
        <v>2017</v>
      </c>
      <c r="AK1727" s="1" t="s">
        <v>87</v>
      </c>
      <c r="AL1727" s="1">
        <v>55</v>
      </c>
    </row>
    <row r="1728" spans="1:38" x14ac:dyDescent="0.2">
      <c r="A1728" s="2" t="str">
        <f>HYPERLINK("https://www.compass.com/listing/50-west-30th-street-unit-11a-manhattan-ny-10001/129612547723680561/","50 W 30th St, Unit 11A")</f>
        <v>50 W 30th St, Unit 11A</v>
      </c>
      <c r="B1728" s="2" t="str">
        <f t="shared" si="291"/>
        <v>The NOMA</v>
      </c>
      <c r="C1728" s="1" t="s">
        <v>95</v>
      </c>
      <c r="D1728" s="1" t="s">
        <v>41</v>
      </c>
      <c r="E1728" s="3">
        <v>2240000</v>
      </c>
      <c r="F1728" s="1">
        <v>1769.3522906793</v>
      </c>
      <c r="G1728" s="1">
        <v>4.5</v>
      </c>
      <c r="H1728" s="1">
        <v>2</v>
      </c>
      <c r="I1728" s="1">
        <v>2</v>
      </c>
      <c r="J1728" s="1">
        <v>2</v>
      </c>
      <c r="K1728" s="1">
        <v>2</v>
      </c>
      <c r="M1728" s="4">
        <v>1266</v>
      </c>
      <c r="N1728" s="1">
        <v>1548</v>
      </c>
      <c r="O1728" s="1">
        <v>3546</v>
      </c>
      <c r="P1728" s="1">
        <v>1998</v>
      </c>
      <c r="Q1728" s="1" t="s">
        <v>42</v>
      </c>
      <c r="S1728" s="1" t="s">
        <v>42</v>
      </c>
      <c r="T1728" s="1" t="s">
        <v>203</v>
      </c>
      <c r="U1728" s="1">
        <v>92</v>
      </c>
      <c r="V1728" s="5">
        <v>43694</v>
      </c>
      <c r="W1728" s="5">
        <v>43431</v>
      </c>
      <c r="X1728" s="1">
        <v>2295000</v>
      </c>
      <c r="Y1728" s="1">
        <v>2295000</v>
      </c>
      <c r="Z1728" s="5">
        <v>43523</v>
      </c>
      <c r="AA1728" s="1">
        <v>2240000</v>
      </c>
      <c r="AB1728" s="1" t="s">
        <v>1290</v>
      </c>
      <c r="AC1728" s="5">
        <v>43616</v>
      </c>
      <c r="AF1728" s="1">
        <v>10001</v>
      </c>
      <c r="AI1728" s="1" t="s">
        <v>45</v>
      </c>
      <c r="AJ1728" s="1">
        <v>2017</v>
      </c>
      <c r="AK1728" s="1" t="s">
        <v>87</v>
      </c>
      <c r="AL1728" s="1">
        <v>55</v>
      </c>
    </row>
    <row r="1729" spans="1:38" x14ac:dyDescent="0.2">
      <c r="A1729" s="2" t="str">
        <f>HYPERLINK("https://www.compass.com/listing/50-west-30th-street-unit-5a-manhattan-ny-10001/213634488553493329/","50 W 30th St, Unit 5A")</f>
        <v>50 W 30th St, Unit 5A</v>
      </c>
      <c r="B1729" s="2" t="str">
        <f t="shared" si="291"/>
        <v>The NOMA</v>
      </c>
      <c r="C1729" s="1" t="s">
        <v>95</v>
      </c>
      <c r="D1729" s="1" t="s">
        <v>41</v>
      </c>
      <c r="E1729" s="3">
        <v>2403070</v>
      </c>
      <c r="F1729" s="1">
        <v>1927.0809943865199</v>
      </c>
      <c r="G1729" s="1">
        <v>4</v>
      </c>
      <c r="H1729" s="1">
        <v>2</v>
      </c>
      <c r="I1729" s="1">
        <v>2</v>
      </c>
      <c r="J1729" s="1">
        <v>2</v>
      </c>
      <c r="K1729" s="1">
        <v>2</v>
      </c>
      <c r="M1729" s="4">
        <v>1247</v>
      </c>
      <c r="N1729" s="1">
        <v>1651</v>
      </c>
      <c r="O1729" s="1">
        <v>4236</v>
      </c>
      <c r="P1729" s="1">
        <v>2585</v>
      </c>
      <c r="Q1729" s="1" t="s">
        <v>42</v>
      </c>
      <c r="S1729" s="1" t="s">
        <v>42</v>
      </c>
      <c r="T1729" s="1" t="s">
        <v>203</v>
      </c>
      <c r="U1729" s="1">
        <v>325</v>
      </c>
      <c r="V1729" s="5">
        <v>43916</v>
      </c>
      <c r="W1729" s="5">
        <v>43546</v>
      </c>
      <c r="X1729" s="1">
        <v>2575000</v>
      </c>
      <c r="Y1729" s="1">
        <v>2399000</v>
      </c>
      <c r="Z1729" s="5">
        <v>43872</v>
      </c>
      <c r="AA1729" s="1">
        <v>2403070</v>
      </c>
      <c r="AB1729" s="1" t="s">
        <v>1291</v>
      </c>
      <c r="AC1729" s="5">
        <v>43917</v>
      </c>
      <c r="AF1729" s="1">
        <v>10001</v>
      </c>
      <c r="AI1729" s="1" t="s">
        <v>108</v>
      </c>
      <c r="AJ1729" s="1">
        <v>2017</v>
      </c>
      <c r="AK1729" s="1" t="s">
        <v>87</v>
      </c>
      <c r="AL1729" s="1">
        <v>55</v>
      </c>
    </row>
    <row r="1730" spans="1:38" x14ac:dyDescent="0.2">
      <c r="A1730" s="2" t="str">
        <f>HYPERLINK("https://www.compass.com/listing/50-west-30th-street-unit-12a-manhattan-ny-10001/571758626774387745/","50 W 30th St, Unit 12A")</f>
        <v>50 W 30th St, Unit 12A</v>
      </c>
      <c r="B1730" s="2" t="str">
        <f t="shared" si="291"/>
        <v>The NOMA</v>
      </c>
      <c r="C1730" s="1" t="s">
        <v>95</v>
      </c>
      <c r="D1730" s="1" t="s">
        <v>41</v>
      </c>
      <c r="E1730" s="3">
        <v>2225000</v>
      </c>
      <c r="F1730" s="1">
        <v>1757.50394944707</v>
      </c>
      <c r="G1730" s="1">
        <v>4</v>
      </c>
      <c r="H1730" s="1">
        <v>2</v>
      </c>
      <c r="I1730" s="1">
        <v>2</v>
      </c>
      <c r="J1730" s="1">
        <v>2</v>
      </c>
      <c r="K1730" s="1">
        <v>2</v>
      </c>
      <c r="M1730" s="4">
        <v>1266</v>
      </c>
      <c r="N1730" s="1">
        <v>1548</v>
      </c>
      <c r="O1730" s="1">
        <v>3988</v>
      </c>
      <c r="P1730" s="1">
        <v>2440</v>
      </c>
      <c r="Q1730" s="1" t="s">
        <v>42</v>
      </c>
      <c r="S1730" s="1" t="s">
        <v>42</v>
      </c>
      <c r="T1730" s="1" t="s">
        <v>203</v>
      </c>
      <c r="U1730" s="1">
        <v>15</v>
      </c>
      <c r="V1730" s="5">
        <v>44117</v>
      </c>
      <c r="W1730" s="5">
        <v>44040</v>
      </c>
      <c r="X1730" s="1">
        <v>2225000</v>
      </c>
      <c r="Y1730" s="1">
        <v>2225000</v>
      </c>
      <c r="Z1730" s="5">
        <v>44056</v>
      </c>
      <c r="AA1730" s="1">
        <v>2225000</v>
      </c>
      <c r="AB1730" s="1" t="s">
        <v>1292</v>
      </c>
      <c r="AC1730" s="5">
        <v>44104</v>
      </c>
      <c r="AF1730" s="1">
        <v>10001</v>
      </c>
      <c r="AI1730" s="1" t="s">
        <v>45</v>
      </c>
      <c r="AJ1730" s="1">
        <v>2017</v>
      </c>
      <c r="AK1730" s="1" t="s">
        <v>87</v>
      </c>
      <c r="AL1730" s="1">
        <v>55</v>
      </c>
    </row>
    <row r="1731" spans="1:38" x14ac:dyDescent="0.2">
      <c r="A1731" s="2" t="str">
        <f>HYPERLINK("https://www.compass.com/listing/50-west-30th-street-unit-8b-manhattan-ny-10001/29374841459178289/","50 W 30th St, Unit 8B")</f>
        <v>50 W 30th St, Unit 8B</v>
      </c>
      <c r="B1731" s="2" t="str">
        <f t="shared" si="291"/>
        <v>The NOMA</v>
      </c>
      <c r="C1731" s="1" t="s">
        <v>95</v>
      </c>
      <c r="D1731" s="1" t="s">
        <v>41</v>
      </c>
      <c r="E1731" s="3">
        <v>1453756</v>
      </c>
      <c r="F1731" s="1">
        <v>2088.7298850574698</v>
      </c>
      <c r="G1731" s="1">
        <v>2</v>
      </c>
      <c r="H1731" s="1">
        <v>1</v>
      </c>
      <c r="I1731" s="1">
        <v>1</v>
      </c>
      <c r="J1731" s="1">
        <v>1</v>
      </c>
      <c r="K1731" s="1">
        <v>1</v>
      </c>
      <c r="M1731" s="1">
        <v>696</v>
      </c>
      <c r="N1731" s="1">
        <v>854</v>
      </c>
      <c r="O1731" s="1">
        <v>1953</v>
      </c>
      <c r="P1731" s="1">
        <v>1099</v>
      </c>
      <c r="Q1731" s="1" t="s">
        <v>42</v>
      </c>
      <c r="S1731" s="1" t="s">
        <v>42</v>
      </c>
      <c r="T1731" s="1" t="s">
        <v>203</v>
      </c>
      <c r="U1731" s="1">
        <v>35</v>
      </c>
      <c r="V1731" s="5">
        <v>43645</v>
      </c>
      <c r="W1731" s="5">
        <v>42500</v>
      </c>
      <c r="X1731" s="1">
        <v>1425000</v>
      </c>
      <c r="Y1731" s="1">
        <v>1425000</v>
      </c>
      <c r="Z1731" s="5">
        <v>42535</v>
      </c>
      <c r="AA1731" s="1">
        <v>1453756</v>
      </c>
      <c r="AB1731" s="1" t="s">
        <v>1293</v>
      </c>
      <c r="AC1731" s="5">
        <v>43224</v>
      </c>
      <c r="AF1731" s="1">
        <v>10001</v>
      </c>
      <c r="AI1731" s="1" t="s">
        <v>45</v>
      </c>
      <c r="AJ1731" s="1">
        <v>2017</v>
      </c>
      <c r="AK1731" s="1" t="s">
        <v>87</v>
      </c>
      <c r="AL1731" s="1">
        <v>55</v>
      </c>
    </row>
    <row r="1732" spans="1:38" x14ac:dyDescent="0.2">
      <c r="A1732" s="2" t="str">
        <f>HYPERLINK("https://www.compass.com/listing/50-west-30th-street-unit-12b-manhattan-ny-10001/4855978391267972833/","50 W 30th St, Unit 12B")</f>
        <v>50 W 30th St, Unit 12B</v>
      </c>
      <c r="B1732" s="2" t="str">
        <f t="shared" si="291"/>
        <v>The NOMA</v>
      </c>
      <c r="C1732" s="1" t="s">
        <v>95</v>
      </c>
      <c r="D1732" s="1" t="s">
        <v>41</v>
      </c>
      <c r="E1732" s="3">
        <v>1550000</v>
      </c>
      <c r="F1732" s="1">
        <v>2227.0114942528699</v>
      </c>
      <c r="G1732" s="1">
        <v>3</v>
      </c>
      <c r="H1732" s="1">
        <v>1</v>
      </c>
      <c r="I1732" s="1">
        <v>1</v>
      </c>
      <c r="J1732" s="1">
        <v>1</v>
      </c>
      <c r="K1732" s="1">
        <v>1</v>
      </c>
      <c r="M1732" s="1">
        <v>696</v>
      </c>
      <c r="N1732" s="1">
        <v>854</v>
      </c>
      <c r="O1732" s="1">
        <v>1953</v>
      </c>
      <c r="P1732" s="1">
        <v>1099</v>
      </c>
      <c r="Q1732" s="1" t="s">
        <v>42</v>
      </c>
      <c r="S1732" s="1" t="s">
        <v>42</v>
      </c>
      <c r="T1732" s="1" t="s">
        <v>203</v>
      </c>
      <c r="U1732" s="1">
        <v>317</v>
      </c>
      <c r="V1732" s="5">
        <v>43648</v>
      </c>
      <c r="W1732" s="5">
        <v>42705</v>
      </c>
      <c r="X1732" s="1">
        <v>1550000</v>
      </c>
      <c r="Y1732" s="1">
        <v>1550000</v>
      </c>
      <c r="Z1732" s="5">
        <v>43022</v>
      </c>
      <c r="AA1732" s="1">
        <v>1550000</v>
      </c>
      <c r="AB1732" s="1" t="s">
        <v>1294</v>
      </c>
      <c r="AC1732" s="5">
        <v>43221</v>
      </c>
      <c r="AF1732" s="1">
        <v>10001</v>
      </c>
      <c r="AI1732" s="1" t="s">
        <v>45</v>
      </c>
      <c r="AJ1732" s="1">
        <v>2017</v>
      </c>
      <c r="AK1732" s="1" t="s">
        <v>87</v>
      </c>
      <c r="AL1732" s="1">
        <v>55</v>
      </c>
    </row>
    <row r="1733" spans="1:38" x14ac:dyDescent="0.2">
      <c r="A1733" s="2" t="str">
        <f>HYPERLINK("https://www.compass.com/listing/50-west-30th-street-unit-17b-manhattan-ny-10001/621891977692352809/","50 W 30th St, Unit 17B")</f>
        <v>50 W 30th St, Unit 17B</v>
      </c>
      <c r="B1733" s="2" t="str">
        <f t="shared" si="291"/>
        <v>The NOMA</v>
      </c>
      <c r="C1733" s="1" t="s">
        <v>95</v>
      </c>
      <c r="D1733" s="1" t="s">
        <v>41</v>
      </c>
      <c r="E1733" s="3">
        <v>2163781</v>
      </c>
      <c r="F1733" s="1">
        <v>1651.74141221374</v>
      </c>
      <c r="G1733" s="1">
        <v>5</v>
      </c>
      <c r="H1733" s="1">
        <v>2</v>
      </c>
      <c r="I1733" s="1">
        <v>3</v>
      </c>
      <c r="J1733" s="1">
        <v>2.5</v>
      </c>
      <c r="K1733" s="1">
        <v>2</v>
      </c>
      <c r="L1733" s="1">
        <v>1</v>
      </c>
      <c r="M1733" s="4">
        <v>1310</v>
      </c>
      <c r="N1733" s="1">
        <v>1630</v>
      </c>
      <c r="O1733" s="1">
        <v>4200</v>
      </c>
      <c r="P1733" s="1">
        <v>2570</v>
      </c>
      <c r="Q1733" s="1" t="s">
        <v>42</v>
      </c>
      <c r="S1733" s="1" t="s">
        <v>42</v>
      </c>
      <c r="T1733" s="1" t="s">
        <v>203</v>
      </c>
      <c r="U1733" s="1">
        <v>91</v>
      </c>
      <c r="V1733" s="5">
        <v>44300</v>
      </c>
      <c r="W1733" s="5">
        <v>44109</v>
      </c>
      <c r="X1733" s="1">
        <v>2295000</v>
      </c>
      <c r="Y1733" s="1">
        <v>2295000</v>
      </c>
      <c r="Z1733" s="5">
        <v>44201</v>
      </c>
      <c r="AA1733" s="1">
        <v>2163781.25</v>
      </c>
      <c r="AB1733" s="1" t="s">
        <v>1295</v>
      </c>
      <c r="AC1733" s="5">
        <v>44292</v>
      </c>
      <c r="AF1733" s="1">
        <v>10001</v>
      </c>
      <c r="AI1733" s="1" t="s">
        <v>127</v>
      </c>
      <c r="AJ1733" s="1">
        <v>2017</v>
      </c>
      <c r="AK1733" s="1" t="s">
        <v>87</v>
      </c>
      <c r="AL1733" s="1">
        <v>55</v>
      </c>
    </row>
    <row r="1734" spans="1:38" x14ac:dyDescent="0.2">
      <c r="A1734" s="2" t="str">
        <f>HYPERLINK("https://www.compass.com/listing/50-west-30th-street-unit-15b-manhattan-ny-10001/166455967490353569/","50 W 30th St, Unit 15B")</f>
        <v>50 W 30th St, Unit 15B</v>
      </c>
      <c r="B1734" s="2" t="str">
        <f t="shared" si="291"/>
        <v>The NOMA</v>
      </c>
      <c r="C1734" s="1" t="s">
        <v>95</v>
      </c>
      <c r="D1734" s="1" t="s">
        <v>41</v>
      </c>
      <c r="E1734" s="3">
        <v>2425000</v>
      </c>
      <c r="F1734" s="1">
        <v>1851.1450381679299</v>
      </c>
      <c r="G1734" s="1">
        <v>4</v>
      </c>
      <c r="H1734" s="1">
        <v>2</v>
      </c>
      <c r="I1734" s="1">
        <v>3</v>
      </c>
      <c r="J1734" s="1">
        <v>2.5</v>
      </c>
      <c r="K1734" s="1">
        <v>2</v>
      </c>
      <c r="L1734" s="1">
        <v>1</v>
      </c>
      <c r="M1734" s="4">
        <v>1310</v>
      </c>
      <c r="N1734" s="1">
        <v>1630</v>
      </c>
      <c r="O1734" s="1">
        <v>3734</v>
      </c>
      <c r="P1734" s="1">
        <v>2104</v>
      </c>
      <c r="Q1734" s="1" t="s">
        <v>42</v>
      </c>
      <c r="S1734" s="1" t="s">
        <v>42</v>
      </c>
      <c r="T1734" s="1" t="s">
        <v>203</v>
      </c>
      <c r="U1734" s="1">
        <v>120</v>
      </c>
      <c r="V1734" s="5">
        <v>43609</v>
      </c>
      <c r="W1734" s="5">
        <v>43481</v>
      </c>
      <c r="X1734" s="1">
        <v>2475000</v>
      </c>
      <c r="Y1734" s="1">
        <v>2475000</v>
      </c>
      <c r="Z1734" s="5">
        <v>43601</v>
      </c>
      <c r="AA1734" s="1">
        <v>2425000</v>
      </c>
      <c r="AB1734" s="1" t="s">
        <v>1296</v>
      </c>
      <c r="AC1734" s="5">
        <v>43608</v>
      </c>
      <c r="AF1734" s="1">
        <v>10001</v>
      </c>
      <c r="AI1734" s="1" t="s">
        <v>127</v>
      </c>
      <c r="AJ1734" s="1">
        <v>2017</v>
      </c>
      <c r="AK1734" s="1" t="s">
        <v>87</v>
      </c>
      <c r="AL1734" s="1">
        <v>55</v>
      </c>
    </row>
    <row r="1735" spans="1:38" x14ac:dyDescent="0.2">
      <c r="A1735" s="2" t="str">
        <f>HYPERLINK("https://www.compass.com/listing/50-west-30th-street-unit-16b-manhattan-ny-10001/254169088920776129/","50 W 30th St, Unit 16B")</f>
        <v>50 W 30th St, Unit 16B</v>
      </c>
      <c r="B1735" s="2" t="str">
        <f t="shared" si="291"/>
        <v>The NOMA</v>
      </c>
      <c r="C1735" s="1" t="s">
        <v>95</v>
      </c>
      <c r="D1735" s="1" t="s">
        <v>41</v>
      </c>
      <c r="E1735" s="3">
        <v>2425000</v>
      </c>
      <c r="F1735" s="1">
        <v>1851.1450381679299</v>
      </c>
      <c r="G1735" s="1">
        <v>4</v>
      </c>
      <c r="H1735" s="1">
        <v>2</v>
      </c>
      <c r="I1735" s="1">
        <v>3</v>
      </c>
      <c r="J1735" s="1">
        <v>2.5</v>
      </c>
      <c r="K1735" s="1">
        <v>2</v>
      </c>
      <c r="L1735" s="1">
        <v>1</v>
      </c>
      <c r="M1735" s="4">
        <v>1310</v>
      </c>
      <c r="N1735" s="1">
        <v>1630</v>
      </c>
      <c r="O1735" s="1">
        <v>4229</v>
      </c>
      <c r="P1735" s="1">
        <v>2599</v>
      </c>
      <c r="Q1735" s="1" t="s">
        <v>42</v>
      </c>
      <c r="S1735" s="1" t="s">
        <v>42</v>
      </c>
      <c r="T1735" s="1" t="s">
        <v>203</v>
      </c>
      <c r="U1735" s="1">
        <v>153</v>
      </c>
      <c r="V1735" s="5">
        <v>43802</v>
      </c>
      <c r="W1735" s="5">
        <v>43603</v>
      </c>
      <c r="X1735" s="1">
        <v>2495000</v>
      </c>
      <c r="Y1735" s="1">
        <v>2495000</v>
      </c>
      <c r="Z1735" s="5">
        <v>43756</v>
      </c>
      <c r="AA1735" s="1">
        <v>2425000</v>
      </c>
      <c r="AB1735" s="1" t="s">
        <v>1297</v>
      </c>
      <c r="AC1735" s="5">
        <v>43787</v>
      </c>
      <c r="AF1735" s="1">
        <v>10001</v>
      </c>
      <c r="AI1735" s="1" t="s">
        <v>127</v>
      </c>
      <c r="AJ1735" s="1">
        <v>2017</v>
      </c>
      <c r="AK1735" s="1" t="s">
        <v>87</v>
      </c>
      <c r="AL1735" s="1">
        <v>55</v>
      </c>
    </row>
    <row r="1736" spans="1:38" x14ac:dyDescent="0.2">
      <c r="A1736" s="2" t="str">
        <f>HYPERLINK("https://www.compass.com/listing/50-west-30th-street-unit-10a-manhattan-ny-10001/29374843078123089/","50 W 30th St, Unit 10A")</f>
        <v>50 W 30th St, Unit 10A</v>
      </c>
      <c r="B1736" s="2" t="str">
        <f t="shared" si="291"/>
        <v>The NOMA</v>
      </c>
      <c r="C1736" s="1" t="s">
        <v>95</v>
      </c>
      <c r="D1736" s="1" t="s">
        <v>41</v>
      </c>
      <c r="E1736" s="3">
        <v>2585000</v>
      </c>
      <c r="F1736" s="1">
        <v>2041.86413902053</v>
      </c>
      <c r="G1736" s="1">
        <v>4</v>
      </c>
      <c r="H1736" s="1">
        <v>2</v>
      </c>
      <c r="I1736" s="1">
        <v>2</v>
      </c>
      <c r="J1736" s="1">
        <v>2</v>
      </c>
      <c r="K1736" s="1">
        <v>2</v>
      </c>
      <c r="M1736" s="4">
        <v>1266</v>
      </c>
      <c r="N1736" s="1">
        <v>1553</v>
      </c>
      <c r="O1736" s="1">
        <v>3551</v>
      </c>
      <c r="P1736" s="1">
        <v>1998</v>
      </c>
      <c r="Q1736" s="1" t="s">
        <v>42</v>
      </c>
      <c r="S1736" s="1" t="s">
        <v>42</v>
      </c>
      <c r="T1736" s="1" t="s">
        <v>203</v>
      </c>
      <c r="U1736" s="1">
        <v>70</v>
      </c>
      <c r="V1736" s="5">
        <v>43640</v>
      </c>
      <c r="W1736" s="5">
        <v>42794</v>
      </c>
      <c r="X1736" s="1">
        <v>2585000</v>
      </c>
      <c r="Y1736" s="1">
        <v>2585000</v>
      </c>
      <c r="Z1736" s="5">
        <v>42864</v>
      </c>
      <c r="AA1736" s="1">
        <v>2585000</v>
      </c>
      <c r="AB1736" s="1" t="s">
        <v>1298</v>
      </c>
      <c r="AC1736" s="5">
        <v>43243</v>
      </c>
      <c r="AF1736" s="1">
        <v>10001</v>
      </c>
      <c r="AI1736" s="1" t="s">
        <v>45</v>
      </c>
      <c r="AJ1736" s="1">
        <v>2017</v>
      </c>
      <c r="AK1736" s="1" t="s">
        <v>87</v>
      </c>
      <c r="AL1736" s="1">
        <v>55</v>
      </c>
    </row>
    <row r="1737" spans="1:38" x14ac:dyDescent="0.2">
      <c r="A1737" s="2" t="str">
        <f>HYPERLINK("https://www.compass.com/listing/50-west-30th-street-unit-3d-manhattan-ny-10001/29374838044958225/","50 W 30th St, Unit 3D")</f>
        <v>50 W 30th St, Unit 3D</v>
      </c>
      <c r="B1737" s="2" t="str">
        <f t="shared" si="291"/>
        <v>The NOMA</v>
      </c>
      <c r="C1737" s="1" t="s">
        <v>95</v>
      </c>
      <c r="D1737" s="1" t="s">
        <v>41</v>
      </c>
      <c r="E1737" s="3">
        <v>1861056</v>
      </c>
      <c r="G1737" s="1">
        <v>3</v>
      </c>
      <c r="H1737" s="1">
        <v>1</v>
      </c>
      <c r="I1737" s="1">
        <v>1</v>
      </c>
      <c r="J1737" s="1">
        <v>1</v>
      </c>
      <c r="K1737" s="1">
        <v>1</v>
      </c>
      <c r="N1737" s="1">
        <v>1233</v>
      </c>
      <c r="O1737" s="1">
        <v>2819</v>
      </c>
      <c r="P1737" s="1">
        <v>1586</v>
      </c>
      <c r="Q1737" s="1" t="s">
        <v>42</v>
      </c>
      <c r="S1737" s="1" t="s">
        <v>42</v>
      </c>
      <c r="T1737" s="1" t="s">
        <v>203</v>
      </c>
      <c r="V1737" s="5">
        <v>43645</v>
      </c>
      <c r="W1737" s="5">
        <v>43000</v>
      </c>
      <c r="X1737" s="1">
        <v>1850000</v>
      </c>
      <c r="Y1737" s="1">
        <v>1850000</v>
      </c>
      <c r="Z1737" s="5">
        <v>43000</v>
      </c>
      <c r="AA1737" s="1">
        <v>1861056</v>
      </c>
      <c r="AB1737" s="1" t="s">
        <v>1299</v>
      </c>
      <c r="AC1737" s="5">
        <v>43222</v>
      </c>
      <c r="AF1737" s="1">
        <v>10001</v>
      </c>
      <c r="AI1737" s="1" t="s">
        <v>45</v>
      </c>
      <c r="AJ1737" s="1">
        <v>2017</v>
      </c>
      <c r="AK1737" s="1" t="s">
        <v>87</v>
      </c>
      <c r="AL1737" s="1">
        <v>55</v>
      </c>
    </row>
    <row r="1738" spans="1:38" x14ac:dyDescent="0.2">
      <c r="A1738" s="2" t="str">
        <f>HYPERLINK("https://www.compass.com/listing/50-west-30th-street-unit-15a-manhattan-ny-10001/29374845661814385/","50 W 30th St, Unit 15A")</f>
        <v>50 W 30th St, Unit 15A</v>
      </c>
      <c r="B1738" s="2" t="str">
        <f t="shared" si="291"/>
        <v>The NOMA</v>
      </c>
      <c r="C1738" s="1" t="s">
        <v>95</v>
      </c>
      <c r="D1738" s="1" t="s">
        <v>41</v>
      </c>
      <c r="E1738" s="3">
        <v>2865000</v>
      </c>
      <c r="F1738" s="1">
        <v>2154.13533834586</v>
      </c>
      <c r="G1738" s="1">
        <v>4</v>
      </c>
      <c r="H1738" s="1">
        <v>2</v>
      </c>
      <c r="I1738" s="1">
        <v>2</v>
      </c>
      <c r="J1738" s="1">
        <v>2</v>
      </c>
      <c r="K1738" s="1">
        <v>2</v>
      </c>
      <c r="M1738" s="4">
        <v>1330</v>
      </c>
      <c r="N1738" s="1">
        <v>1631</v>
      </c>
      <c r="O1738" s="1">
        <v>3730</v>
      </c>
      <c r="P1738" s="1">
        <v>2099</v>
      </c>
      <c r="Q1738" s="1" t="s">
        <v>42</v>
      </c>
      <c r="S1738" s="1" t="s">
        <v>42</v>
      </c>
      <c r="T1738" s="1" t="s">
        <v>203</v>
      </c>
      <c r="U1738" s="1">
        <v>3</v>
      </c>
      <c r="V1738" s="5">
        <v>43647</v>
      </c>
      <c r="W1738" s="5">
        <v>43162</v>
      </c>
      <c r="X1738" s="1">
        <v>2865000</v>
      </c>
      <c r="Y1738" s="1">
        <v>2865000</v>
      </c>
      <c r="Z1738" s="5">
        <v>43165</v>
      </c>
      <c r="AA1738" s="1">
        <v>2865000</v>
      </c>
      <c r="AB1738" s="1" t="s">
        <v>1300</v>
      </c>
      <c r="AC1738" s="5">
        <v>43241</v>
      </c>
      <c r="AF1738" s="1">
        <v>10001</v>
      </c>
      <c r="AI1738" s="1" t="s">
        <v>45</v>
      </c>
      <c r="AJ1738" s="1">
        <v>2017</v>
      </c>
      <c r="AK1738" s="1" t="s">
        <v>87</v>
      </c>
      <c r="AL1738" s="1">
        <v>55</v>
      </c>
    </row>
    <row r="1739" spans="1:38" x14ac:dyDescent="0.2">
      <c r="A1739" s="2" t="str">
        <f>HYPERLINK("https://www.compass.com/listing/50-west-30th-street-unit-13c-manhattan-ny-10001/4855978369986072001/","50 W 30th St, Unit 13C")</f>
        <v>50 W 30th St, Unit 13C</v>
      </c>
      <c r="B1739" s="2" t="str">
        <f t="shared" si="291"/>
        <v>The NOMA</v>
      </c>
      <c r="C1739" s="1" t="s">
        <v>95</v>
      </c>
      <c r="D1739" s="1" t="s">
        <v>41</v>
      </c>
      <c r="E1739" s="3">
        <v>1575000</v>
      </c>
      <c r="F1739" s="1">
        <v>2319.5876288659701</v>
      </c>
      <c r="G1739" s="1">
        <v>2</v>
      </c>
      <c r="H1739" s="1">
        <v>1</v>
      </c>
      <c r="I1739" s="1">
        <v>1</v>
      </c>
      <c r="J1739" s="1">
        <v>1</v>
      </c>
      <c r="K1739" s="1">
        <v>1</v>
      </c>
      <c r="M1739" s="1">
        <v>679</v>
      </c>
      <c r="N1739" s="1">
        <v>861</v>
      </c>
      <c r="O1739" s="1">
        <v>1969</v>
      </c>
      <c r="P1739" s="1">
        <v>1108</v>
      </c>
      <c r="Q1739" s="1" t="s">
        <v>42</v>
      </c>
      <c r="S1739" s="1" t="s">
        <v>42</v>
      </c>
      <c r="T1739" s="1" t="s">
        <v>203</v>
      </c>
      <c r="U1739" s="1">
        <v>39</v>
      </c>
      <c r="V1739" s="5">
        <v>43645</v>
      </c>
      <c r="W1739" s="5">
        <v>42500</v>
      </c>
      <c r="X1739" s="1">
        <v>1575000</v>
      </c>
      <c r="Y1739" s="1">
        <v>1575000</v>
      </c>
      <c r="Z1739" s="5">
        <v>42539</v>
      </c>
      <c r="AA1739" s="1">
        <v>1575000</v>
      </c>
      <c r="AB1739" s="1" t="s">
        <v>204</v>
      </c>
      <c r="AC1739" s="5">
        <v>43224</v>
      </c>
      <c r="AF1739" s="1">
        <v>10001</v>
      </c>
      <c r="AI1739" s="1" t="s">
        <v>127</v>
      </c>
      <c r="AJ1739" s="1">
        <v>2017</v>
      </c>
      <c r="AK1739" s="1" t="s">
        <v>87</v>
      </c>
      <c r="AL1739" s="1">
        <v>55</v>
      </c>
    </row>
    <row r="1740" spans="1:38" x14ac:dyDescent="0.2">
      <c r="A1740" s="2" t="str">
        <f>HYPERLINK("https://www.compass.com/listing/50-west-30th-street-unit-18b-manhattan-ny-10001/410607687468985873/","50 W 30th St, Unit 18B")</f>
        <v>50 W 30th St, Unit 18B</v>
      </c>
      <c r="B1740" s="2" t="str">
        <f t="shared" si="291"/>
        <v>The NOMA</v>
      </c>
      <c r="C1740" s="1" t="s">
        <v>95</v>
      </c>
      <c r="D1740" s="1" t="s">
        <v>41</v>
      </c>
      <c r="E1740" s="3">
        <v>2265606</v>
      </c>
      <c r="F1740" s="1">
        <v>1729.47041984732</v>
      </c>
      <c r="G1740" s="1">
        <v>5</v>
      </c>
      <c r="H1740" s="1">
        <v>2</v>
      </c>
      <c r="I1740" s="1">
        <v>3</v>
      </c>
      <c r="J1740" s="1">
        <v>2.5</v>
      </c>
      <c r="K1740" s="1">
        <v>2</v>
      </c>
      <c r="L1740" s="1">
        <v>1</v>
      </c>
      <c r="M1740" s="4">
        <v>1310</v>
      </c>
      <c r="N1740" s="1">
        <v>1630</v>
      </c>
      <c r="O1740" s="1">
        <v>4200</v>
      </c>
      <c r="P1740" s="1">
        <v>2570</v>
      </c>
      <c r="Q1740" s="1" t="s">
        <v>42</v>
      </c>
      <c r="S1740" s="1" t="s">
        <v>42</v>
      </c>
      <c r="T1740" s="1" t="s">
        <v>203</v>
      </c>
      <c r="V1740" s="5">
        <v>44288</v>
      </c>
      <c r="W1740" s="5">
        <v>43943</v>
      </c>
      <c r="X1740" s="1">
        <v>2595000</v>
      </c>
      <c r="Y1740" s="1">
        <v>2595000</v>
      </c>
      <c r="AA1740" s="1">
        <v>2265606.25</v>
      </c>
      <c r="AB1740" s="1" t="s">
        <v>1285</v>
      </c>
      <c r="AC1740" s="5">
        <v>44264</v>
      </c>
      <c r="AF1740" s="1">
        <v>10001</v>
      </c>
      <c r="AI1740" s="1" t="s">
        <v>127</v>
      </c>
      <c r="AJ1740" s="1">
        <v>2017</v>
      </c>
      <c r="AK1740" s="1" t="s">
        <v>87</v>
      </c>
      <c r="AL1740" s="1">
        <v>55</v>
      </c>
    </row>
    <row r="1741" spans="1:38" x14ac:dyDescent="0.2">
      <c r="A1741" s="2" t="str">
        <f>HYPERLINK("https://www.compass.com/listing/50-west-30th-street-unit-19b-manhattan-ny-10001/684680490783155137/","50 W 30th St, Unit 19B")</f>
        <v>50 W 30th St, Unit 19B</v>
      </c>
      <c r="B1741" s="2" t="str">
        <f t="shared" si="291"/>
        <v>The NOMA</v>
      </c>
      <c r="C1741" s="1" t="s">
        <v>95</v>
      </c>
      <c r="D1741" s="1" t="s">
        <v>41</v>
      </c>
      <c r="E1741" s="3">
        <v>2291063</v>
      </c>
      <c r="F1741" s="1">
        <v>1748.9026717557199</v>
      </c>
      <c r="G1741" s="1">
        <v>5</v>
      </c>
      <c r="H1741" s="1">
        <v>2</v>
      </c>
      <c r="I1741" s="1">
        <v>3</v>
      </c>
      <c r="J1741" s="1">
        <v>2.5</v>
      </c>
      <c r="K1741" s="1">
        <v>2</v>
      </c>
      <c r="L1741" s="1">
        <v>1</v>
      </c>
      <c r="M1741" s="4">
        <v>1310</v>
      </c>
      <c r="N1741" s="1">
        <v>1630</v>
      </c>
      <c r="O1741" s="1">
        <v>4200</v>
      </c>
      <c r="P1741" s="1">
        <v>2570</v>
      </c>
      <c r="Q1741" s="1" t="s">
        <v>42</v>
      </c>
      <c r="S1741" s="1" t="s">
        <v>42</v>
      </c>
      <c r="T1741" s="1" t="s">
        <v>203</v>
      </c>
      <c r="U1741" s="1">
        <v>4</v>
      </c>
      <c r="V1741" s="5">
        <v>44316</v>
      </c>
      <c r="W1741" s="5">
        <v>44196</v>
      </c>
      <c r="X1741" s="1">
        <v>2395000</v>
      </c>
      <c r="Y1741" s="1">
        <v>2395000</v>
      </c>
      <c r="Z1741" s="5">
        <v>44200</v>
      </c>
      <c r="AA1741" s="1">
        <v>2291062.5</v>
      </c>
      <c r="AB1741" s="1" t="s">
        <v>1284</v>
      </c>
      <c r="AC1741" s="5">
        <v>44300</v>
      </c>
      <c r="AF1741" s="1">
        <v>10001</v>
      </c>
      <c r="AI1741" s="1" t="s">
        <v>127</v>
      </c>
      <c r="AJ1741" s="1">
        <v>2017</v>
      </c>
      <c r="AK1741" s="1" t="s">
        <v>87</v>
      </c>
      <c r="AL1741" s="1">
        <v>55</v>
      </c>
    </row>
    <row r="1742" spans="1:38" x14ac:dyDescent="0.2">
      <c r="A1742" s="2" t="str">
        <f>HYPERLINK("https://www.compass.com/listing/50-west-30th-street-unit-20b-manhattan-ny-10001/167388630912883329/","50 W 30th St, Unit 20B")</f>
        <v>50 W 30th St, Unit 20B</v>
      </c>
      <c r="B1742" s="2" t="str">
        <f t="shared" si="291"/>
        <v>The NOMA</v>
      </c>
      <c r="C1742" s="1" t="s">
        <v>95</v>
      </c>
      <c r="D1742" s="1" t="s">
        <v>41</v>
      </c>
      <c r="E1742" s="3">
        <v>2720000</v>
      </c>
      <c r="F1742" s="1">
        <v>2076.3358778625902</v>
      </c>
      <c r="G1742" s="1">
        <v>4.5</v>
      </c>
      <c r="H1742" s="1">
        <v>2</v>
      </c>
      <c r="I1742" s="1">
        <v>3</v>
      </c>
      <c r="J1742" s="1">
        <v>2.5</v>
      </c>
      <c r="K1742" s="1">
        <v>2</v>
      </c>
      <c r="L1742" s="1">
        <v>1</v>
      </c>
      <c r="M1742" s="4">
        <v>1310</v>
      </c>
      <c r="N1742" s="1">
        <v>1630</v>
      </c>
      <c r="O1742" s="1">
        <v>4229</v>
      </c>
      <c r="P1742" s="1">
        <v>2599</v>
      </c>
      <c r="Q1742" s="1" t="s">
        <v>42</v>
      </c>
      <c r="S1742" s="1" t="s">
        <v>42</v>
      </c>
      <c r="T1742" s="1" t="s">
        <v>203</v>
      </c>
      <c r="U1742" s="1">
        <v>6</v>
      </c>
      <c r="V1742" s="5">
        <v>43805</v>
      </c>
      <c r="W1742" s="5">
        <v>43615</v>
      </c>
      <c r="X1742" s="1">
        <v>2745000</v>
      </c>
      <c r="Y1742" s="1">
        <v>2745000</v>
      </c>
      <c r="Z1742" s="5">
        <v>43679</v>
      </c>
      <c r="AA1742" s="1">
        <v>2720000</v>
      </c>
      <c r="AB1742" s="1" t="s">
        <v>1301</v>
      </c>
      <c r="AC1742" s="5">
        <v>43692</v>
      </c>
      <c r="AF1742" s="1">
        <v>10001</v>
      </c>
      <c r="AI1742" s="1" t="s">
        <v>113</v>
      </c>
      <c r="AJ1742" s="1">
        <v>2017</v>
      </c>
      <c r="AK1742" s="1" t="s">
        <v>87</v>
      </c>
      <c r="AL1742" s="1">
        <v>55</v>
      </c>
    </row>
    <row r="1743" spans="1:38" x14ac:dyDescent="0.2">
      <c r="A1743" s="2" t="str">
        <f>HYPERLINK("https://www.compass.com/listing/554-east-82nd-street-unit-4-manhattan-ny-10028/29425989041815361/","554 E 82nd St, Unit 4")</f>
        <v>554 E 82nd St, Unit 4</v>
      </c>
      <c r="B1743" s="2" t="str">
        <f t="shared" ref="B1743:B1744" si="292">HYPERLINK("https://www.compass.com/building/554-e-82nd-st-manhattan-ny-10028/281987736842381013/","554 E 82nd St")</f>
        <v>554 E 82nd St</v>
      </c>
      <c r="C1743" s="1" t="s">
        <v>53</v>
      </c>
      <c r="D1743" s="1" t="s">
        <v>41</v>
      </c>
      <c r="E1743" s="3">
        <v>3600000</v>
      </c>
      <c r="F1743" s="1">
        <v>1665.89541878759</v>
      </c>
      <c r="H1743" s="1">
        <v>3</v>
      </c>
      <c r="J1743" s="1">
        <v>2</v>
      </c>
      <c r="K1743" s="1">
        <v>2</v>
      </c>
      <c r="M1743" s="4">
        <v>2161</v>
      </c>
      <c r="N1743" s="1">
        <v>3434</v>
      </c>
      <c r="O1743" s="1">
        <v>5075</v>
      </c>
      <c r="P1743" s="1">
        <v>1641</v>
      </c>
      <c r="Q1743" s="1" t="s">
        <v>42</v>
      </c>
      <c r="S1743" s="1" t="s">
        <v>42</v>
      </c>
      <c r="T1743" s="1" t="s">
        <v>203</v>
      </c>
      <c r="AA1743" s="1">
        <v>3600000</v>
      </c>
      <c r="AB1743" s="1" t="s">
        <v>1302</v>
      </c>
      <c r="AC1743" s="5">
        <v>42535</v>
      </c>
      <c r="AF1743" s="1">
        <v>10028</v>
      </c>
      <c r="AI1743" s="1" t="s">
        <v>73</v>
      </c>
      <c r="AJ1743" s="1">
        <v>2015</v>
      </c>
      <c r="AK1743" s="1" t="s">
        <v>140</v>
      </c>
      <c r="AL1743" s="1">
        <v>4</v>
      </c>
    </row>
    <row r="1744" spans="1:38" x14ac:dyDescent="0.2">
      <c r="A1744" s="2" t="str">
        <f>HYPERLINK("https://www.compass.com/listing/554-east-82nd-street-unit-mais-manhattan-ny-10028/29580280884894433/","554 E 82nd St, Unit MAIS")</f>
        <v>554 E 82nd St, Unit MAIS</v>
      </c>
      <c r="B1744" s="2" t="str">
        <f t="shared" si="292"/>
        <v>554 E 82nd St</v>
      </c>
      <c r="C1744" s="1" t="s">
        <v>53</v>
      </c>
      <c r="D1744" s="1" t="s">
        <v>41</v>
      </c>
      <c r="E1744" s="3">
        <v>4850000</v>
      </c>
      <c r="F1744" s="1">
        <v>1740.2224614280501</v>
      </c>
      <c r="G1744" s="1">
        <v>5</v>
      </c>
      <c r="H1744" s="1">
        <v>4</v>
      </c>
      <c r="I1744" s="1">
        <v>3</v>
      </c>
      <c r="J1744" s="1">
        <v>3.5</v>
      </c>
      <c r="K1744" s="1">
        <v>3</v>
      </c>
      <c r="L1744" s="1">
        <v>1</v>
      </c>
      <c r="M1744" s="4">
        <v>2787</v>
      </c>
      <c r="N1744" s="1">
        <v>2393</v>
      </c>
      <c r="O1744" s="1">
        <v>3536</v>
      </c>
      <c r="P1744" s="1">
        <v>1143</v>
      </c>
      <c r="Q1744" s="1" t="s">
        <v>42</v>
      </c>
      <c r="S1744" s="1" t="s">
        <v>42</v>
      </c>
      <c r="T1744" s="1" t="s">
        <v>203</v>
      </c>
      <c r="V1744" s="5">
        <v>43680</v>
      </c>
      <c r="W1744" s="5">
        <v>41963</v>
      </c>
      <c r="X1744" s="1">
        <v>4850000</v>
      </c>
      <c r="Y1744" s="1">
        <v>4850000</v>
      </c>
      <c r="Z1744" s="5">
        <v>41963</v>
      </c>
      <c r="AA1744" s="1">
        <v>4850000</v>
      </c>
      <c r="AB1744" s="1" t="s">
        <v>204</v>
      </c>
      <c r="AC1744" s="5">
        <v>42318</v>
      </c>
      <c r="AF1744" s="1">
        <v>10028</v>
      </c>
      <c r="AI1744" s="1" t="s">
        <v>1303</v>
      </c>
      <c r="AJ1744" s="1">
        <v>2015</v>
      </c>
      <c r="AK1744" s="1" t="s">
        <v>178</v>
      </c>
      <c r="AL1744" s="1">
        <v>4</v>
      </c>
    </row>
    <row r="1745" spans="1:38" x14ac:dyDescent="0.2">
      <c r="A1745" s="2" t="str">
        <f>HYPERLINK("https://www.compass.com/listing/50-west-30th-street-unit-21b-manhattan-ny-10001/207884321183360817/","50 W 30th St, Unit 21B")</f>
        <v>50 W 30th St, Unit 21B</v>
      </c>
      <c r="B1745" s="2" t="str">
        <f>HYPERLINK("https://www.compass.com/building/the-noma-manhattan-ny/282058879016139621/","The NOMA")</f>
        <v>The NOMA</v>
      </c>
      <c r="C1745" s="1" t="s">
        <v>95</v>
      </c>
      <c r="D1745" s="1" t="s">
        <v>41</v>
      </c>
      <c r="E1745" s="3">
        <v>2845000</v>
      </c>
      <c r="G1745" s="1">
        <v>5</v>
      </c>
      <c r="H1745" s="1">
        <v>2</v>
      </c>
      <c r="I1745" s="1">
        <v>3</v>
      </c>
      <c r="J1745" s="1">
        <v>2.5</v>
      </c>
      <c r="K1745" s="1">
        <v>2</v>
      </c>
      <c r="L1745" s="1">
        <v>1</v>
      </c>
      <c r="N1745" s="1">
        <v>1630</v>
      </c>
      <c r="O1745" s="1">
        <v>3734</v>
      </c>
      <c r="P1745" s="1">
        <v>2104</v>
      </c>
      <c r="Q1745" s="1" t="s">
        <v>42</v>
      </c>
      <c r="S1745" s="1" t="s">
        <v>42</v>
      </c>
      <c r="T1745" s="1" t="s">
        <v>203</v>
      </c>
      <c r="U1745" s="1">
        <v>5</v>
      </c>
      <c r="V1745" s="5">
        <v>43638</v>
      </c>
      <c r="W1745" s="5">
        <v>43539</v>
      </c>
      <c r="X1745" s="1">
        <v>3025000</v>
      </c>
      <c r="Y1745" s="1">
        <v>3025000</v>
      </c>
      <c r="Z1745" s="5">
        <v>43544</v>
      </c>
      <c r="AA1745" s="1">
        <v>2845000</v>
      </c>
      <c r="AB1745" s="1" t="s">
        <v>1304</v>
      </c>
      <c r="AC1745" s="5">
        <v>43567</v>
      </c>
      <c r="AF1745" s="1">
        <v>10001</v>
      </c>
      <c r="AI1745" s="1" t="s">
        <v>127</v>
      </c>
      <c r="AJ1745" s="1">
        <v>2017</v>
      </c>
      <c r="AK1745" s="1" t="s">
        <v>87</v>
      </c>
      <c r="AL1745" s="1">
        <v>55</v>
      </c>
    </row>
    <row r="1746" spans="1:38" x14ac:dyDescent="0.2">
      <c r="A1746" s="2" t="str">
        <f>HYPERLINK("https://www.compass.com/listing/302-east-96th-street-unit-1301-manhattan-ny-10128/654823137918958689/","302 E 96th St, Unit 1301")</f>
        <v>302 E 96th St, Unit 1301</v>
      </c>
      <c r="B1746" s="2" t="str">
        <f>HYPERLINK("https://www.compass.com/building/302-e-96th-st-manhattan-ny/282050840162756469/","302 E 96th St")</f>
        <v>302 E 96th St</v>
      </c>
      <c r="C1746" s="1" t="s">
        <v>53</v>
      </c>
      <c r="D1746" s="1" t="s">
        <v>41</v>
      </c>
      <c r="E1746" s="3">
        <v>972428</v>
      </c>
      <c r="F1746" s="1">
        <v>1862.88888888888</v>
      </c>
      <c r="H1746" s="1">
        <v>3</v>
      </c>
      <c r="J1746" s="1">
        <v>3</v>
      </c>
      <c r="K1746" s="1">
        <v>3</v>
      </c>
      <c r="M1746" s="1">
        <v>522</v>
      </c>
      <c r="N1746" s="1">
        <v>1668.86</v>
      </c>
      <c r="O1746" s="1">
        <v>3122.3199999999902</v>
      </c>
      <c r="P1746" s="1">
        <v>1453.5</v>
      </c>
      <c r="Q1746" s="1" t="s">
        <v>42</v>
      </c>
      <c r="S1746" s="1" t="s">
        <v>42</v>
      </c>
      <c r="T1746" s="1" t="s">
        <v>203</v>
      </c>
      <c r="AA1746" s="1">
        <v>972428</v>
      </c>
      <c r="AB1746" s="1" t="s">
        <v>1305</v>
      </c>
      <c r="AC1746" s="5">
        <v>44137</v>
      </c>
      <c r="AF1746" s="1">
        <v>10128</v>
      </c>
      <c r="AI1746" s="1" t="s">
        <v>54</v>
      </c>
      <c r="AJ1746" s="1">
        <v>2018</v>
      </c>
      <c r="AK1746" s="1" t="s">
        <v>55</v>
      </c>
      <c r="AL1746" s="1">
        <v>48</v>
      </c>
    </row>
    <row r="1747" spans="1:38" x14ac:dyDescent="0.2">
      <c r="A1747" s="2" t="str">
        <f>HYPERLINK("https://www.compass.com/listing/50-west-30th-street-unit-6c-manhattan-ny-10001/29514435227814081/","50 W 30th St, Unit 6C")</f>
        <v>50 W 30th St, Unit 6C</v>
      </c>
      <c r="B1747" s="2" t="str">
        <f t="shared" ref="B1747:B1749" si="293">HYPERLINK("https://www.compass.com/building/the-noma-manhattan-ny/282058879016139621/","The NOMA")</f>
        <v>The NOMA</v>
      </c>
      <c r="C1747" s="1" t="s">
        <v>95</v>
      </c>
      <c r="D1747" s="1" t="s">
        <v>41</v>
      </c>
      <c r="E1747" s="3">
        <v>1500000</v>
      </c>
      <c r="F1747" s="1">
        <v>2209.1310751104502</v>
      </c>
      <c r="G1747" s="1">
        <v>3</v>
      </c>
      <c r="H1747" s="1">
        <v>1</v>
      </c>
      <c r="I1747" s="1">
        <v>1</v>
      </c>
      <c r="J1747" s="1">
        <v>1</v>
      </c>
      <c r="K1747" s="1">
        <v>1</v>
      </c>
      <c r="M1747" s="1">
        <v>679</v>
      </c>
      <c r="N1747" s="1">
        <v>861</v>
      </c>
      <c r="O1747" s="1">
        <v>1969</v>
      </c>
      <c r="P1747" s="1">
        <v>1108</v>
      </c>
      <c r="Q1747" s="1" t="s">
        <v>42</v>
      </c>
      <c r="S1747" s="1" t="s">
        <v>42</v>
      </c>
      <c r="T1747" s="1" t="s">
        <v>203</v>
      </c>
      <c r="U1747" s="1">
        <v>192</v>
      </c>
      <c r="V1747" s="5">
        <v>43648</v>
      </c>
      <c r="W1747" s="5">
        <v>43243</v>
      </c>
      <c r="X1747" s="1">
        <v>1650000</v>
      </c>
      <c r="Y1747" s="1">
        <v>1500000</v>
      </c>
      <c r="Z1747" s="5">
        <v>43435</v>
      </c>
      <c r="AA1747" s="1">
        <v>1500000</v>
      </c>
      <c r="AB1747" s="1" t="s">
        <v>1306</v>
      </c>
      <c r="AC1747" s="5">
        <v>43553</v>
      </c>
      <c r="AF1747" s="1">
        <v>10001</v>
      </c>
      <c r="AI1747" s="1" t="s">
        <v>127</v>
      </c>
      <c r="AJ1747" s="1">
        <v>2017</v>
      </c>
      <c r="AK1747" s="1" t="s">
        <v>87</v>
      </c>
      <c r="AL1747" s="1">
        <v>55</v>
      </c>
    </row>
    <row r="1748" spans="1:38" x14ac:dyDescent="0.2">
      <c r="A1748" s="2" t="str">
        <f>HYPERLINK("https://www.compass.com/listing/50-west-30th-street-unit-ph1-manhattan-ny-10001/176050742547837761/","50 W 30th St, Unit PH1")</f>
        <v>50 W 30th St, Unit PH1</v>
      </c>
      <c r="B1748" s="2" t="str">
        <f t="shared" si="293"/>
        <v>The NOMA</v>
      </c>
      <c r="C1748" s="1" t="s">
        <v>95</v>
      </c>
      <c r="D1748" s="1" t="s">
        <v>41</v>
      </c>
      <c r="E1748" s="3">
        <v>6405206</v>
      </c>
      <c r="F1748" s="1">
        <v>2531.7020750988099</v>
      </c>
      <c r="G1748" s="1">
        <v>5</v>
      </c>
      <c r="H1748" s="1">
        <v>3</v>
      </c>
      <c r="I1748" s="1">
        <v>4</v>
      </c>
      <c r="J1748" s="1">
        <v>3.5</v>
      </c>
      <c r="K1748" s="1">
        <v>3</v>
      </c>
      <c r="L1748" s="1">
        <v>1</v>
      </c>
      <c r="M1748" s="4">
        <v>2530</v>
      </c>
      <c r="N1748" s="1">
        <v>3180</v>
      </c>
      <c r="O1748" s="1">
        <v>8231</v>
      </c>
      <c r="P1748" s="1">
        <v>5051</v>
      </c>
      <c r="Q1748" s="1" t="s">
        <v>42</v>
      </c>
      <c r="S1748" s="1" t="s">
        <v>42</v>
      </c>
      <c r="T1748" s="1" t="s">
        <v>203</v>
      </c>
      <c r="U1748" s="1">
        <v>191</v>
      </c>
      <c r="V1748" s="5">
        <v>43724</v>
      </c>
      <c r="W1748" s="5">
        <v>43495</v>
      </c>
      <c r="X1748" s="1">
        <v>6495000</v>
      </c>
      <c r="Y1748" s="1">
        <v>6495000</v>
      </c>
      <c r="Z1748" s="5">
        <v>43686</v>
      </c>
      <c r="AA1748" s="1">
        <v>6405206.25</v>
      </c>
      <c r="AB1748" s="1" t="s">
        <v>1307</v>
      </c>
      <c r="AC1748" s="5">
        <v>43712</v>
      </c>
      <c r="AF1748" s="1">
        <v>10001</v>
      </c>
      <c r="AI1748" s="1" t="s">
        <v>113</v>
      </c>
      <c r="AJ1748" s="1">
        <v>2017</v>
      </c>
      <c r="AK1748" s="1" t="s">
        <v>87</v>
      </c>
      <c r="AL1748" s="1">
        <v>55</v>
      </c>
    </row>
    <row r="1749" spans="1:38" x14ac:dyDescent="0.2">
      <c r="A1749" s="2" t="str">
        <f>HYPERLINK("https://www.compass.com/listing/50-west-30th-street-unit-ph2-manhattan-ny-10001/803338802458493785/","50 W 30th St, Unit PH2")</f>
        <v>50 W 30th St, Unit PH2</v>
      </c>
      <c r="B1749" s="2" t="str">
        <f t="shared" si="293"/>
        <v>The NOMA</v>
      </c>
      <c r="C1749" s="1" t="s">
        <v>95</v>
      </c>
      <c r="D1749" s="1" t="s">
        <v>41</v>
      </c>
      <c r="E1749" s="3">
        <v>5900000</v>
      </c>
      <c r="F1749" s="1">
        <v>2694.0639269406302</v>
      </c>
      <c r="G1749" s="1">
        <v>6</v>
      </c>
      <c r="H1749" s="1">
        <v>3</v>
      </c>
      <c r="I1749" s="1">
        <v>4</v>
      </c>
      <c r="J1749" s="1">
        <v>3.5</v>
      </c>
      <c r="K1749" s="1">
        <v>3</v>
      </c>
      <c r="L1749" s="1">
        <v>1</v>
      </c>
      <c r="M1749" s="4">
        <v>2190</v>
      </c>
      <c r="N1749" s="1">
        <v>2804</v>
      </c>
      <c r="O1749" s="1">
        <v>7253</v>
      </c>
      <c r="P1749" s="1">
        <v>4449</v>
      </c>
      <c r="Q1749" s="1" t="s">
        <v>42</v>
      </c>
      <c r="S1749" s="1" t="s">
        <v>42</v>
      </c>
      <c r="T1749" s="1" t="s">
        <v>203</v>
      </c>
      <c r="U1749" s="1">
        <v>149</v>
      </c>
      <c r="V1749" s="5">
        <v>43750</v>
      </c>
      <c r="W1749" s="5">
        <v>43572</v>
      </c>
      <c r="X1749" s="1">
        <v>5995000</v>
      </c>
      <c r="Y1749" s="1">
        <v>5995000</v>
      </c>
      <c r="Z1749" s="5">
        <v>43722</v>
      </c>
      <c r="AA1749" s="1">
        <v>5900000</v>
      </c>
      <c r="AB1749" s="1" t="s">
        <v>1308</v>
      </c>
      <c r="AC1749" s="5">
        <v>43748</v>
      </c>
      <c r="AF1749" s="1">
        <v>10001</v>
      </c>
      <c r="AI1749" s="1" t="s">
        <v>1309</v>
      </c>
      <c r="AJ1749" s="1">
        <v>2017</v>
      </c>
      <c r="AK1749" s="1" t="s">
        <v>87</v>
      </c>
      <c r="AL1749" s="1">
        <v>55</v>
      </c>
    </row>
    <row r="1750" spans="1:38" x14ac:dyDescent="0.2">
      <c r="A1750" s="2" t="str">
        <f>HYPERLINK("https://www.compass.com/listing/40-east-end-avenue-unit-5a-manhattan-ny-10028/29513349364567873/","40 E End Ave, Unit 5A")</f>
        <v>40 E End Ave, Unit 5A</v>
      </c>
      <c r="B1750" s="2" t="str">
        <f>HYPERLINK("https://www.compass.com/building/40-e-end-ave-manhattan-ny-10028/281986569399806037/","40 E End Ave")</f>
        <v>40 E End Ave</v>
      </c>
      <c r="C1750" s="1" t="s">
        <v>53</v>
      </c>
      <c r="D1750" s="1" t="s">
        <v>41</v>
      </c>
      <c r="E1750" s="3">
        <v>5182373</v>
      </c>
      <c r="F1750" s="1">
        <v>2319.77305282005</v>
      </c>
      <c r="G1750" s="1">
        <v>5</v>
      </c>
      <c r="H1750" s="1">
        <v>3</v>
      </c>
      <c r="I1750" s="1">
        <v>4</v>
      </c>
      <c r="J1750" s="1">
        <v>3.5</v>
      </c>
      <c r="K1750" s="1">
        <v>3</v>
      </c>
      <c r="L1750" s="1">
        <v>1</v>
      </c>
      <c r="M1750" s="4">
        <v>2234</v>
      </c>
      <c r="N1750" s="1">
        <v>2291</v>
      </c>
      <c r="O1750" s="1">
        <v>5559</v>
      </c>
      <c r="P1750" s="1">
        <v>3268</v>
      </c>
      <c r="Q1750" s="1" t="s">
        <v>42</v>
      </c>
      <c r="S1750" s="1" t="s">
        <v>42</v>
      </c>
      <c r="T1750" s="1" t="s">
        <v>203</v>
      </c>
      <c r="U1750" s="1">
        <v>474</v>
      </c>
      <c r="V1750" s="5">
        <v>44288</v>
      </c>
      <c r="W1750" s="5">
        <v>42902</v>
      </c>
      <c r="Y1750" s="1">
        <v>5270990</v>
      </c>
      <c r="AA1750" s="1">
        <v>5182373</v>
      </c>
      <c r="AB1750" s="1" t="s">
        <v>204</v>
      </c>
      <c r="AC1750" s="5">
        <v>43735</v>
      </c>
      <c r="AF1750" s="1">
        <v>10028</v>
      </c>
      <c r="AI1750" s="1" t="s">
        <v>152</v>
      </c>
      <c r="AJ1750" s="1">
        <v>2019</v>
      </c>
      <c r="AK1750" s="1" t="s">
        <v>81</v>
      </c>
      <c r="AL1750" s="1">
        <v>29</v>
      </c>
    </row>
    <row r="1751" spans="1:38" x14ac:dyDescent="0.2">
      <c r="A1751" s="2" t="str">
        <f>HYPERLINK("https://www.compass.com/listing/200-east-62nd-street-unit-17b-manhattan-ny-10065/555595226822283609/","200 E 62nd St, Unit 17B")</f>
        <v>200 E 62nd St, Unit 17B</v>
      </c>
      <c r="B1751" s="2" t="str">
        <f t="shared" ref="B1751:B1755" si="294">HYPERLINK("https://www.compass.com/building/200-e-62-manhattan-ny/282037506914928197/","200 E 62")</f>
        <v>200 E 62</v>
      </c>
      <c r="C1751" s="1" t="s">
        <v>53</v>
      </c>
      <c r="D1751" s="1" t="s">
        <v>41</v>
      </c>
      <c r="E1751" s="3">
        <v>2935000</v>
      </c>
      <c r="F1751" s="1">
        <v>1731.5634218288999</v>
      </c>
      <c r="G1751" s="1">
        <v>5</v>
      </c>
      <c r="H1751" s="1">
        <v>2</v>
      </c>
      <c r="I1751" s="1">
        <v>3</v>
      </c>
      <c r="J1751" s="1">
        <v>2.5</v>
      </c>
      <c r="K1751" s="1">
        <v>2</v>
      </c>
      <c r="L1751" s="1">
        <v>1</v>
      </c>
      <c r="M1751" s="4">
        <v>1695</v>
      </c>
      <c r="N1751" s="1">
        <v>1910.46</v>
      </c>
      <c r="O1751" s="1">
        <v>4240.46</v>
      </c>
      <c r="P1751" s="1">
        <v>2330</v>
      </c>
      <c r="Q1751" s="1" t="s">
        <v>42</v>
      </c>
      <c r="S1751" s="1" t="s">
        <v>42</v>
      </c>
      <c r="T1751" s="1" t="s">
        <v>203</v>
      </c>
      <c r="U1751" s="1">
        <v>277</v>
      </c>
      <c r="V1751" s="5">
        <v>44385</v>
      </c>
      <c r="W1751" s="5">
        <v>44018</v>
      </c>
      <c r="X1751" s="1">
        <v>3295000</v>
      </c>
      <c r="Y1751" s="1">
        <v>2995000</v>
      </c>
      <c r="Z1751" s="5">
        <v>44296</v>
      </c>
      <c r="AA1751" s="1">
        <v>2935000</v>
      </c>
      <c r="AB1751" s="1" t="s">
        <v>1310</v>
      </c>
      <c r="AC1751" s="5">
        <v>44383</v>
      </c>
      <c r="AF1751" s="1">
        <v>10065</v>
      </c>
      <c r="AI1751" s="1" t="s">
        <v>154</v>
      </c>
      <c r="AJ1751" s="1">
        <v>1967</v>
      </c>
      <c r="AK1751" s="1" t="s">
        <v>81</v>
      </c>
      <c r="AL1751" s="1">
        <v>113</v>
      </c>
    </row>
    <row r="1752" spans="1:38" x14ac:dyDescent="0.2">
      <c r="A1752" s="2" t="str">
        <f>HYPERLINK("https://www.compass.com/listing/200-east-62nd-street-unit-5c-manhattan-ny-10065/29413942237339633/","200 E 62nd St, Unit 5C")</f>
        <v>200 E 62nd St, Unit 5C</v>
      </c>
      <c r="B1752" s="2" t="str">
        <f t="shared" si="294"/>
        <v>200 E 62</v>
      </c>
      <c r="C1752" s="1" t="s">
        <v>53</v>
      </c>
      <c r="D1752" s="1" t="s">
        <v>41</v>
      </c>
      <c r="E1752" s="3">
        <v>1959250</v>
      </c>
      <c r="F1752" s="1">
        <v>1711.13537117903</v>
      </c>
      <c r="G1752" s="1">
        <v>4</v>
      </c>
      <c r="H1752" s="1">
        <v>1</v>
      </c>
      <c r="I1752" s="1">
        <v>1</v>
      </c>
      <c r="J1752" s="1">
        <v>1</v>
      </c>
      <c r="K1752" s="1">
        <v>1</v>
      </c>
      <c r="M1752" s="4">
        <v>1145</v>
      </c>
      <c r="N1752" s="1">
        <v>1212</v>
      </c>
      <c r="O1752" s="1">
        <v>2535</v>
      </c>
      <c r="P1752" s="1">
        <v>1323</v>
      </c>
      <c r="Q1752" s="1" t="s">
        <v>42</v>
      </c>
      <c r="S1752" s="1" t="s">
        <v>42</v>
      </c>
      <c r="T1752" s="1" t="s">
        <v>203</v>
      </c>
      <c r="U1752" s="1">
        <v>352</v>
      </c>
      <c r="V1752" s="5">
        <v>43642</v>
      </c>
      <c r="W1752" s="5">
        <v>42199</v>
      </c>
      <c r="X1752" s="1">
        <v>2180000</v>
      </c>
      <c r="Y1752" s="1">
        <v>1975000</v>
      </c>
      <c r="Z1752" s="5">
        <v>42551</v>
      </c>
      <c r="AA1752" s="1">
        <v>1959250</v>
      </c>
      <c r="AB1752" s="1" t="s">
        <v>1311</v>
      </c>
      <c r="AC1752" s="5">
        <v>42551</v>
      </c>
      <c r="AF1752" s="1">
        <v>10065</v>
      </c>
      <c r="AI1752" s="1" t="s">
        <v>156</v>
      </c>
      <c r="AJ1752" s="1">
        <v>1967</v>
      </c>
      <c r="AK1752" s="1" t="s">
        <v>81</v>
      </c>
      <c r="AL1752" s="1">
        <v>113</v>
      </c>
    </row>
    <row r="1753" spans="1:38" x14ac:dyDescent="0.2">
      <c r="A1753" s="2" t="str">
        <f>HYPERLINK("https://www.compass.com/listing/200-east-62nd-street-unit-4e-manhattan-ny-10065/723495025249990449/","200 E 62nd St, Unit 4E")</f>
        <v>200 E 62nd St, Unit 4E</v>
      </c>
      <c r="B1753" s="2" t="str">
        <f t="shared" si="294"/>
        <v>200 E 62</v>
      </c>
      <c r="C1753" s="1" t="s">
        <v>53</v>
      </c>
      <c r="D1753" s="1" t="s">
        <v>41</v>
      </c>
      <c r="E1753" s="3">
        <v>1290000</v>
      </c>
      <c r="F1753" s="1">
        <v>1149.7326203208499</v>
      </c>
      <c r="G1753" s="1">
        <v>3.5</v>
      </c>
      <c r="H1753" s="1">
        <v>1</v>
      </c>
      <c r="I1753" s="1">
        <v>2</v>
      </c>
      <c r="J1753" s="1">
        <v>1.5</v>
      </c>
      <c r="K1753" s="1">
        <v>1</v>
      </c>
      <c r="L1753" s="1">
        <v>1</v>
      </c>
      <c r="M1753" s="4">
        <v>1122</v>
      </c>
      <c r="N1753" s="1">
        <v>1168</v>
      </c>
      <c r="O1753" s="1">
        <v>2581</v>
      </c>
      <c r="P1753" s="1">
        <v>1413</v>
      </c>
      <c r="Q1753" s="1" t="s">
        <v>42</v>
      </c>
      <c r="S1753" s="1" t="s">
        <v>42</v>
      </c>
      <c r="T1753" s="1" t="s">
        <v>203</v>
      </c>
      <c r="U1753" s="1">
        <v>57</v>
      </c>
      <c r="V1753" s="5">
        <v>44426</v>
      </c>
      <c r="W1753" s="5">
        <v>44249</v>
      </c>
      <c r="X1753" s="1">
        <v>1425000</v>
      </c>
      <c r="Y1753" s="1">
        <v>1425000</v>
      </c>
      <c r="Z1753" s="5">
        <v>44306</v>
      </c>
      <c r="AA1753" s="1">
        <v>1290000</v>
      </c>
      <c r="AB1753" s="1" t="s">
        <v>1312</v>
      </c>
      <c r="AC1753" s="5">
        <v>44385</v>
      </c>
      <c r="AF1753" s="1">
        <v>10065</v>
      </c>
      <c r="AI1753" s="1" t="s">
        <v>76</v>
      </c>
      <c r="AJ1753" s="1">
        <v>1967</v>
      </c>
      <c r="AK1753" s="1" t="s">
        <v>81</v>
      </c>
      <c r="AL1753" s="1">
        <v>113</v>
      </c>
    </row>
    <row r="1754" spans="1:38" x14ac:dyDescent="0.2">
      <c r="A1754" s="2" t="str">
        <f>HYPERLINK("https://www.compass.com/listing/200-east-62nd-street-unit-12c-manhattan-ny-10065/29413950768554081/","200 E 62nd St, Unit 12C")</f>
        <v>200 E 62nd St, Unit 12C</v>
      </c>
      <c r="B1754" s="2" t="str">
        <f t="shared" si="294"/>
        <v>200 E 62</v>
      </c>
      <c r="C1754" s="1" t="s">
        <v>53</v>
      </c>
      <c r="D1754" s="1" t="s">
        <v>41</v>
      </c>
      <c r="E1754" s="3">
        <v>2408161</v>
      </c>
      <c r="F1754" s="1">
        <v>2103.1973799126599</v>
      </c>
      <c r="G1754" s="1">
        <v>3</v>
      </c>
      <c r="H1754" s="1">
        <v>1</v>
      </c>
      <c r="I1754" s="1">
        <v>1</v>
      </c>
      <c r="J1754" s="1">
        <v>1</v>
      </c>
      <c r="K1754" s="1">
        <v>1</v>
      </c>
      <c r="M1754" s="4">
        <v>1145</v>
      </c>
      <c r="N1754" s="1">
        <v>1281</v>
      </c>
      <c r="O1754" s="1">
        <v>2679</v>
      </c>
      <c r="P1754" s="1">
        <v>1398</v>
      </c>
      <c r="Q1754" s="1" t="s">
        <v>42</v>
      </c>
      <c r="S1754" s="1" t="s">
        <v>42</v>
      </c>
      <c r="T1754" s="1" t="s">
        <v>203</v>
      </c>
      <c r="V1754" s="5">
        <v>43635</v>
      </c>
      <c r="W1754" s="5">
        <v>42272</v>
      </c>
      <c r="X1754" s="1">
        <v>2365000</v>
      </c>
      <c r="Y1754" s="1">
        <v>2365000</v>
      </c>
      <c r="Z1754" s="5">
        <v>42272</v>
      </c>
      <c r="AA1754" s="1">
        <v>2408161</v>
      </c>
      <c r="AB1754" s="1" t="s">
        <v>1313</v>
      </c>
      <c r="AC1754" s="5">
        <v>42445</v>
      </c>
      <c r="AF1754" s="1">
        <v>10065</v>
      </c>
      <c r="AI1754" s="1" t="s">
        <v>156</v>
      </c>
      <c r="AJ1754" s="1">
        <v>1967</v>
      </c>
      <c r="AK1754" s="1" t="s">
        <v>81</v>
      </c>
      <c r="AL1754" s="1">
        <v>113</v>
      </c>
    </row>
    <row r="1755" spans="1:38" x14ac:dyDescent="0.2">
      <c r="A1755" s="2" t="str">
        <f>HYPERLINK("https://www.compass.com/listing/200-east-62nd-street-unit-16c-manhattan-ny-10065/29413953998171041/","200 E 62nd St, Unit 16C")</f>
        <v>200 E 62nd St, Unit 16C</v>
      </c>
      <c r="B1755" s="2" t="str">
        <f t="shared" si="294"/>
        <v>200 E 62</v>
      </c>
      <c r="C1755" s="1" t="s">
        <v>53</v>
      </c>
      <c r="D1755" s="1" t="s">
        <v>41</v>
      </c>
      <c r="E1755" s="3">
        <v>2300000</v>
      </c>
      <c r="F1755" s="1">
        <v>2008.73362445414</v>
      </c>
      <c r="G1755" s="1">
        <v>3.5</v>
      </c>
      <c r="H1755" s="1">
        <v>1</v>
      </c>
      <c r="I1755" s="1">
        <v>1</v>
      </c>
      <c r="J1755" s="1">
        <v>1</v>
      </c>
      <c r="K1755" s="1">
        <v>1</v>
      </c>
      <c r="M1755" s="4">
        <v>1145</v>
      </c>
      <c r="N1755" s="1">
        <v>1256</v>
      </c>
      <c r="O1755" s="1">
        <v>2627</v>
      </c>
      <c r="P1755" s="1">
        <v>1371</v>
      </c>
      <c r="Q1755" s="1" t="s">
        <v>42</v>
      </c>
      <c r="S1755" s="1" t="s">
        <v>42</v>
      </c>
      <c r="T1755" s="1" t="s">
        <v>203</v>
      </c>
      <c r="U1755" s="1">
        <v>106</v>
      </c>
      <c r="V1755" s="5">
        <v>43635</v>
      </c>
      <c r="W1755" s="5">
        <v>42515</v>
      </c>
      <c r="X1755" s="1">
        <v>2365000</v>
      </c>
      <c r="Y1755" s="1">
        <v>2365000</v>
      </c>
      <c r="Z1755" s="5">
        <v>42621</v>
      </c>
      <c r="AA1755" s="1">
        <v>2300000</v>
      </c>
      <c r="AB1755" s="1" t="s">
        <v>1314</v>
      </c>
      <c r="AC1755" s="5">
        <v>42626</v>
      </c>
      <c r="AF1755" s="1">
        <v>10065</v>
      </c>
      <c r="AI1755" s="1" t="s">
        <v>156</v>
      </c>
      <c r="AJ1755" s="1">
        <v>1967</v>
      </c>
      <c r="AK1755" s="1" t="s">
        <v>81</v>
      </c>
      <c r="AL1755" s="1">
        <v>113</v>
      </c>
    </row>
    <row r="1756" spans="1:38" x14ac:dyDescent="0.2">
      <c r="A1756" s="2" t="str">
        <f>HYPERLINK("https://www.compass.com/listing/50-west-30th-street-unit-4b-manhattan-ny-10001/4876993558931834737/","50 W 30th St, Unit 4B")</f>
        <v>50 W 30th St, Unit 4B</v>
      </c>
      <c r="B1756" s="2" t="str">
        <f>HYPERLINK("https://www.compass.com/building/the-noma-manhattan-ny/282058879016139621/","The NOMA")</f>
        <v>The NOMA</v>
      </c>
      <c r="C1756" s="1" t="s">
        <v>95</v>
      </c>
      <c r="D1756" s="1" t="s">
        <v>41</v>
      </c>
      <c r="E1756" s="3">
        <v>2278889</v>
      </c>
      <c r="F1756" s="1">
        <v>1833.37811745776</v>
      </c>
      <c r="G1756" s="1">
        <v>4</v>
      </c>
      <c r="H1756" s="1">
        <v>2</v>
      </c>
      <c r="I1756" s="1">
        <v>2</v>
      </c>
      <c r="J1756" s="1">
        <v>2</v>
      </c>
      <c r="K1756" s="1">
        <v>2</v>
      </c>
      <c r="M1756" s="4">
        <v>1243</v>
      </c>
      <c r="N1756" s="1">
        <v>1535</v>
      </c>
      <c r="O1756" s="1">
        <v>3497</v>
      </c>
      <c r="P1756" s="1">
        <v>1962</v>
      </c>
      <c r="Q1756" s="1" t="s">
        <v>42</v>
      </c>
      <c r="S1756" s="1" t="s">
        <v>42</v>
      </c>
      <c r="T1756" s="1" t="s">
        <v>203</v>
      </c>
      <c r="V1756" s="5">
        <v>43648</v>
      </c>
      <c r="W1756" s="5">
        <v>42528</v>
      </c>
      <c r="X1756" s="1">
        <v>2275000</v>
      </c>
      <c r="Y1756" s="1">
        <v>2275000</v>
      </c>
      <c r="Z1756" s="5">
        <v>42528</v>
      </c>
      <c r="AA1756" s="1">
        <v>2278889</v>
      </c>
      <c r="AB1756" s="1" t="s">
        <v>1315</v>
      </c>
      <c r="AC1756" s="5">
        <v>43252</v>
      </c>
      <c r="AF1756" s="1">
        <v>10001</v>
      </c>
      <c r="AI1756" s="1" t="s">
        <v>45</v>
      </c>
      <c r="AJ1756" s="1">
        <v>2017</v>
      </c>
      <c r="AK1756" s="1" t="s">
        <v>87</v>
      </c>
      <c r="AL1756" s="1">
        <v>55</v>
      </c>
    </row>
    <row r="1757" spans="1:38" x14ac:dyDescent="0.2">
      <c r="A1757" s="2" t="str">
        <f>HYPERLINK("https://www.compass.com/listing/200-east-62nd-street-unit-10e-manhattan-ny-10065/29413948260360257/","200 E 62nd St, Unit 10E")</f>
        <v>200 E 62nd St, Unit 10E</v>
      </c>
      <c r="B1757" s="2" t="str">
        <f>HYPERLINK("https://www.compass.com/building/200-e-62-manhattan-ny/282037506914928197/","200 E 62")</f>
        <v>200 E 62</v>
      </c>
      <c r="C1757" s="1" t="s">
        <v>53</v>
      </c>
      <c r="D1757" s="1" t="s">
        <v>41</v>
      </c>
      <c r="E1757" s="3">
        <v>2219785</v>
      </c>
      <c r="F1757" s="1">
        <v>1978.41800356506</v>
      </c>
      <c r="G1757" s="1">
        <v>3.5</v>
      </c>
      <c r="H1757" s="1">
        <v>2</v>
      </c>
      <c r="I1757" s="1">
        <v>1</v>
      </c>
      <c r="J1757" s="1">
        <v>1</v>
      </c>
      <c r="K1757" s="1">
        <v>1</v>
      </c>
      <c r="M1757" s="4">
        <v>1122</v>
      </c>
      <c r="N1757" s="1">
        <v>1194</v>
      </c>
      <c r="O1757" s="1">
        <v>2497</v>
      </c>
      <c r="P1757" s="1">
        <v>1303</v>
      </c>
      <c r="Q1757" s="1" t="s">
        <v>42</v>
      </c>
      <c r="S1757" s="1" t="s">
        <v>42</v>
      </c>
      <c r="T1757" s="1" t="s">
        <v>203</v>
      </c>
      <c r="U1757" s="1">
        <v>181</v>
      </c>
      <c r="V1757" s="5">
        <v>43635</v>
      </c>
      <c r="W1757" s="5">
        <v>42398</v>
      </c>
      <c r="X1757" s="1">
        <v>2245000</v>
      </c>
      <c r="Y1757" s="1">
        <v>2245000</v>
      </c>
      <c r="Z1757" s="5">
        <v>42579</v>
      </c>
      <c r="AA1757" s="1">
        <v>2219785</v>
      </c>
      <c r="AB1757" s="1" t="s">
        <v>1316</v>
      </c>
      <c r="AC1757" s="5">
        <v>42676</v>
      </c>
      <c r="AF1757" s="1">
        <v>10065</v>
      </c>
      <c r="AI1757" s="1" t="s">
        <v>156</v>
      </c>
      <c r="AJ1757" s="1">
        <v>1967</v>
      </c>
      <c r="AK1757" s="1" t="s">
        <v>81</v>
      </c>
      <c r="AL1757" s="1">
        <v>113</v>
      </c>
    </row>
    <row r="1758" spans="1:38" x14ac:dyDescent="0.2">
      <c r="A1758" s="2" t="str">
        <f>HYPERLINK("https://www.compass.com/listing/40-east-end-avenue-unit-4b-manhattan-ny-10028/29669223651460097/","40 E End Ave, Unit 4B")</f>
        <v>40 E End Ave, Unit 4B</v>
      </c>
      <c r="B1758" s="2" t="str">
        <f>HYPERLINK("https://www.compass.com/building/40-e-end-ave-manhattan-ny-10028/281986569399806037/","40 E End Ave")</f>
        <v>40 E End Ave</v>
      </c>
      <c r="C1758" s="1" t="s">
        <v>53</v>
      </c>
      <c r="D1758" s="1" t="s">
        <v>41</v>
      </c>
      <c r="E1758" s="3">
        <v>3073984</v>
      </c>
      <c r="F1758" s="1">
        <v>2088.3040217391299</v>
      </c>
      <c r="G1758" s="1">
        <v>4</v>
      </c>
      <c r="H1758" s="1">
        <v>2</v>
      </c>
      <c r="I1758" s="1">
        <v>3</v>
      </c>
      <c r="J1758" s="1">
        <v>2.5</v>
      </c>
      <c r="K1758" s="1">
        <v>2</v>
      </c>
      <c r="L1758" s="1">
        <v>1</v>
      </c>
      <c r="M1758" s="4">
        <v>1472</v>
      </c>
      <c r="N1758" s="1">
        <v>1488</v>
      </c>
      <c r="O1758" s="1">
        <v>3611</v>
      </c>
      <c r="P1758" s="1">
        <v>2123</v>
      </c>
      <c r="Q1758" s="1" t="s">
        <v>42</v>
      </c>
      <c r="S1758" s="1" t="s">
        <v>42</v>
      </c>
      <c r="T1758" s="1" t="s">
        <v>203</v>
      </c>
      <c r="U1758" s="1">
        <v>392</v>
      </c>
      <c r="V1758" s="5">
        <v>44019</v>
      </c>
      <c r="W1758" s="5">
        <v>43517</v>
      </c>
      <c r="Y1758" s="1">
        <v>3155990</v>
      </c>
      <c r="Z1758" s="5">
        <v>43973</v>
      </c>
      <c r="AA1758" s="1">
        <v>3073983.52</v>
      </c>
      <c r="AB1758" s="1" t="s">
        <v>1317</v>
      </c>
      <c r="AC1758" s="5">
        <v>44013</v>
      </c>
      <c r="AF1758" s="1">
        <v>10028</v>
      </c>
      <c r="AJ1758" s="1">
        <v>2019</v>
      </c>
      <c r="AK1758" s="1" t="s">
        <v>81</v>
      </c>
      <c r="AL1758" s="1">
        <v>29</v>
      </c>
    </row>
    <row r="1759" spans="1:38" x14ac:dyDescent="0.2">
      <c r="A1759" s="2" t="str">
        <f>HYPERLINK("https://www.compass.com/listing/200-east-62nd-street-unit-17c-manhattan-ny-10065/29641129062409953/","200 E 62nd St, Unit 17C")</f>
        <v>200 E 62nd St, Unit 17C</v>
      </c>
      <c r="B1759" s="2" t="str">
        <f>HYPERLINK("https://www.compass.com/building/200-e-62-manhattan-ny/282037506914928197/","200 E 62")</f>
        <v>200 E 62</v>
      </c>
      <c r="C1759" s="1" t="s">
        <v>53</v>
      </c>
      <c r="D1759" s="1" t="s">
        <v>41</v>
      </c>
      <c r="E1759" s="3">
        <v>1900000</v>
      </c>
      <c r="F1759" s="1">
        <v>1659.3886462882001</v>
      </c>
      <c r="G1759" s="1">
        <v>3</v>
      </c>
      <c r="H1759" s="1">
        <v>1</v>
      </c>
      <c r="I1759" s="1">
        <v>2</v>
      </c>
      <c r="J1759" s="1">
        <v>1.5</v>
      </c>
      <c r="K1759" s="1">
        <v>1</v>
      </c>
      <c r="L1759" s="1">
        <v>1</v>
      </c>
      <c r="M1759" s="4">
        <v>1145</v>
      </c>
      <c r="N1759" s="1">
        <v>1299</v>
      </c>
      <c r="O1759" s="1">
        <v>2983</v>
      </c>
      <c r="P1759" s="1">
        <v>1684</v>
      </c>
      <c r="Q1759" s="1" t="s">
        <v>42</v>
      </c>
      <c r="S1759" s="1" t="s">
        <v>42</v>
      </c>
      <c r="T1759" s="1" t="s">
        <v>203</v>
      </c>
      <c r="U1759" s="1">
        <v>841</v>
      </c>
      <c r="V1759" s="5">
        <v>43822</v>
      </c>
      <c r="W1759" s="5">
        <v>42955</v>
      </c>
      <c r="X1759" s="1">
        <v>2115000</v>
      </c>
      <c r="Y1759" s="1">
        <v>2115000</v>
      </c>
      <c r="Z1759" s="5">
        <v>43797</v>
      </c>
      <c r="AA1759" s="1">
        <v>1900000</v>
      </c>
      <c r="AB1759" s="1" t="s">
        <v>1318</v>
      </c>
      <c r="AC1759" s="5">
        <v>43810</v>
      </c>
      <c r="AF1759" s="1">
        <v>10065</v>
      </c>
      <c r="AI1759" s="1" t="s">
        <v>76</v>
      </c>
      <c r="AJ1759" s="1">
        <v>1967</v>
      </c>
      <c r="AK1759" s="1" t="s">
        <v>81</v>
      </c>
      <c r="AL1759" s="1">
        <v>113</v>
      </c>
    </row>
    <row r="1760" spans="1:38" x14ac:dyDescent="0.2">
      <c r="A1760" s="2" t="str">
        <f>HYPERLINK("https://www.compass.com/listing/50-west-30th-street-unit-3a-manhattan-ny-10001/29374837180986849/","50 W 30th St, Unit 3A")</f>
        <v>50 W 30th St, Unit 3A</v>
      </c>
      <c r="B1760" s="2" t="str">
        <f t="shared" ref="B1760:B1762" si="295">HYPERLINK("https://www.compass.com/building/the-noma-manhattan-ny/282058879016139621/","The NOMA")</f>
        <v>The NOMA</v>
      </c>
      <c r="C1760" s="1" t="s">
        <v>95</v>
      </c>
      <c r="D1760" s="1" t="s">
        <v>41</v>
      </c>
      <c r="E1760" s="3">
        <v>1454106</v>
      </c>
      <c r="F1760" s="1">
        <v>1754.0485524728499</v>
      </c>
      <c r="G1760" s="1">
        <v>2</v>
      </c>
      <c r="H1760" s="1">
        <v>1</v>
      </c>
      <c r="I1760" s="1">
        <v>1</v>
      </c>
      <c r="J1760" s="1">
        <v>1</v>
      </c>
      <c r="K1760" s="1">
        <v>1</v>
      </c>
      <c r="M1760" s="1">
        <v>829</v>
      </c>
      <c r="N1760" s="1">
        <v>1017</v>
      </c>
      <c r="O1760" s="1">
        <v>2325</v>
      </c>
      <c r="P1760" s="1">
        <v>1308</v>
      </c>
      <c r="Q1760" s="1" t="s">
        <v>42</v>
      </c>
      <c r="S1760" s="1" t="s">
        <v>42</v>
      </c>
      <c r="T1760" s="1" t="s">
        <v>203</v>
      </c>
      <c r="V1760" s="5">
        <v>43264</v>
      </c>
      <c r="W1760" s="5">
        <v>42527</v>
      </c>
      <c r="X1760" s="1">
        <v>1455000</v>
      </c>
      <c r="Y1760" s="1">
        <v>1455000</v>
      </c>
      <c r="Z1760" s="5">
        <v>42527</v>
      </c>
      <c r="AA1760" s="1">
        <v>1454106.25</v>
      </c>
      <c r="AB1760" s="1" t="s">
        <v>1319</v>
      </c>
      <c r="AC1760" s="5">
        <v>43243</v>
      </c>
      <c r="AF1760" s="1">
        <v>10001</v>
      </c>
      <c r="AI1760" s="1" t="s">
        <v>45</v>
      </c>
      <c r="AJ1760" s="1">
        <v>2017</v>
      </c>
      <c r="AK1760" s="1" t="s">
        <v>87</v>
      </c>
      <c r="AL1760" s="1">
        <v>55</v>
      </c>
    </row>
    <row r="1761" spans="1:38" x14ac:dyDescent="0.2">
      <c r="A1761" s="2" t="str">
        <f>HYPERLINK("https://www.compass.com/listing/50-west-30th-street-unit-11c-manhattan-ny-10001/29374844730734129/","50 W 30th St, Unit 11C")</f>
        <v>50 W 30th St, Unit 11C</v>
      </c>
      <c r="B1761" s="2" t="str">
        <f t="shared" si="295"/>
        <v>The NOMA</v>
      </c>
      <c r="C1761" s="1" t="s">
        <v>95</v>
      </c>
      <c r="D1761" s="1" t="s">
        <v>41</v>
      </c>
      <c r="E1761" s="3">
        <v>1501919</v>
      </c>
      <c r="F1761" s="1">
        <v>1948.0142671854701</v>
      </c>
      <c r="G1761" s="1">
        <v>2</v>
      </c>
      <c r="H1761" s="1">
        <v>1</v>
      </c>
      <c r="I1761" s="1">
        <v>1</v>
      </c>
      <c r="J1761" s="1">
        <v>1</v>
      </c>
      <c r="K1761" s="1">
        <v>1</v>
      </c>
      <c r="M1761" s="1">
        <v>771</v>
      </c>
      <c r="N1761" s="1">
        <v>861</v>
      </c>
      <c r="O1761" s="1">
        <v>1969</v>
      </c>
      <c r="P1761" s="1">
        <v>1108</v>
      </c>
      <c r="Q1761" s="1" t="s">
        <v>42</v>
      </c>
      <c r="S1761" s="1" t="s">
        <v>42</v>
      </c>
      <c r="T1761" s="1" t="s">
        <v>203</v>
      </c>
      <c r="V1761" s="5">
        <v>43648</v>
      </c>
      <c r="W1761" s="5">
        <v>42528</v>
      </c>
      <c r="X1761" s="1">
        <v>1545000</v>
      </c>
      <c r="Y1761" s="1">
        <v>1545000</v>
      </c>
      <c r="Z1761" s="5">
        <v>42528</v>
      </c>
      <c r="AA1761" s="1">
        <v>1501919</v>
      </c>
      <c r="AB1761" s="1" t="s">
        <v>1320</v>
      </c>
      <c r="AC1761" s="5">
        <v>43246</v>
      </c>
      <c r="AF1761" s="1">
        <v>10001</v>
      </c>
      <c r="AI1761" s="1" t="s">
        <v>45</v>
      </c>
      <c r="AJ1761" s="1">
        <v>2017</v>
      </c>
      <c r="AK1761" s="1" t="s">
        <v>87</v>
      </c>
      <c r="AL1761" s="1">
        <v>55</v>
      </c>
    </row>
    <row r="1762" spans="1:38" x14ac:dyDescent="0.2">
      <c r="A1762" s="2" t="str">
        <f>HYPERLINK("https://www.compass.com/listing/50-west-30th-street-unit-7b-manhattan-ny-10001/29514436670731073/","50 W 30th St, Unit 7B")</f>
        <v>50 W 30th St, Unit 7B</v>
      </c>
      <c r="B1762" s="2" t="str">
        <f t="shared" si="295"/>
        <v>The NOMA</v>
      </c>
      <c r="C1762" s="1" t="s">
        <v>95</v>
      </c>
      <c r="D1762" s="1" t="s">
        <v>41</v>
      </c>
      <c r="E1762" s="3">
        <v>1403194</v>
      </c>
      <c r="F1762" s="1">
        <v>2016.0833333333301</v>
      </c>
      <c r="G1762" s="1">
        <v>2</v>
      </c>
      <c r="H1762" s="1">
        <v>1</v>
      </c>
      <c r="I1762" s="1">
        <v>1</v>
      </c>
      <c r="J1762" s="1">
        <v>1</v>
      </c>
      <c r="K1762" s="1">
        <v>1</v>
      </c>
      <c r="M1762" s="1">
        <v>696</v>
      </c>
      <c r="N1762" s="1">
        <v>854</v>
      </c>
      <c r="O1762" s="1">
        <v>1953</v>
      </c>
      <c r="P1762" s="1">
        <v>1099</v>
      </c>
      <c r="Q1762" s="1" t="s">
        <v>42</v>
      </c>
      <c r="S1762" s="1" t="s">
        <v>42</v>
      </c>
      <c r="T1762" s="1" t="s">
        <v>203</v>
      </c>
      <c r="V1762" s="5">
        <v>43648</v>
      </c>
      <c r="W1762" s="5">
        <v>42528</v>
      </c>
      <c r="X1762" s="1">
        <v>1400000</v>
      </c>
      <c r="Y1762" s="1">
        <v>1400000</v>
      </c>
      <c r="Z1762" s="5">
        <v>42528</v>
      </c>
      <c r="AA1762" s="1">
        <v>1403194</v>
      </c>
      <c r="AB1762" s="1" t="s">
        <v>1321</v>
      </c>
      <c r="AC1762" s="5">
        <v>43245</v>
      </c>
      <c r="AF1762" s="1">
        <v>10001</v>
      </c>
      <c r="AI1762" s="1" t="s">
        <v>45</v>
      </c>
      <c r="AJ1762" s="1">
        <v>2017</v>
      </c>
      <c r="AK1762" s="1" t="s">
        <v>87</v>
      </c>
      <c r="AL1762" s="1">
        <v>55</v>
      </c>
    </row>
    <row r="1763" spans="1:38" x14ac:dyDescent="0.2">
      <c r="A1763" s="2" t="str">
        <f>HYPERLINK("https://www.compass.com/listing/200-east-62nd-street-unit-23b-manhattan-ny-10065/723954399567463217/","200 E 62nd St, Unit 23B")</f>
        <v>200 E 62nd St, Unit 23B</v>
      </c>
      <c r="B1763" s="2" t="str">
        <f t="shared" ref="B1763:B1766" si="296">HYPERLINK("https://www.compass.com/building/200-e-62-manhattan-ny/282037506914928197/","200 E 62")</f>
        <v>200 E 62</v>
      </c>
      <c r="C1763" s="1" t="s">
        <v>53</v>
      </c>
      <c r="D1763" s="1" t="s">
        <v>41</v>
      </c>
      <c r="E1763" s="3">
        <v>2930000</v>
      </c>
      <c r="F1763" s="1">
        <v>1728.6135693215299</v>
      </c>
      <c r="G1763" s="1">
        <v>5</v>
      </c>
      <c r="H1763" s="1">
        <v>2</v>
      </c>
      <c r="I1763" s="1">
        <v>3</v>
      </c>
      <c r="J1763" s="1">
        <v>2.5</v>
      </c>
      <c r="K1763" s="1">
        <v>2</v>
      </c>
      <c r="L1763" s="1">
        <v>1</v>
      </c>
      <c r="M1763" s="4">
        <v>1695</v>
      </c>
      <c r="N1763" s="1">
        <v>1953</v>
      </c>
      <c r="O1763" s="1">
        <v>4535</v>
      </c>
      <c r="P1763" s="1">
        <v>2582</v>
      </c>
      <c r="Q1763" s="1" t="s">
        <v>42</v>
      </c>
      <c r="S1763" s="1" t="s">
        <v>42</v>
      </c>
      <c r="T1763" s="1" t="s">
        <v>203</v>
      </c>
      <c r="U1763" s="1">
        <v>63</v>
      </c>
      <c r="V1763" s="5">
        <v>44374</v>
      </c>
      <c r="W1763" s="5">
        <v>44250</v>
      </c>
      <c r="X1763" s="1">
        <v>3195000</v>
      </c>
      <c r="Y1763" s="1">
        <v>3195000</v>
      </c>
      <c r="Z1763" s="5">
        <v>44314</v>
      </c>
      <c r="AA1763" s="1">
        <v>2930000</v>
      </c>
      <c r="AB1763" s="1" t="s">
        <v>1322</v>
      </c>
      <c r="AC1763" s="5">
        <v>44378</v>
      </c>
      <c r="AF1763" s="1">
        <v>10065</v>
      </c>
      <c r="AI1763" s="1" t="s">
        <v>156</v>
      </c>
      <c r="AJ1763" s="1">
        <v>1967</v>
      </c>
      <c r="AK1763" s="1" t="s">
        <v>81</v>
      </c>
      <c r="AL1763" s="1">
        <v>113</v>
      </c>
    </row>
    <row r="1764" spans="1:38" x14ac:dyDescent="0.2">
      <c r="A1764" s="2" t="str">
        <f>HYPERLINK("https://www.compass.com/listing/200-east-62nd-street-unit-7c-manhattan-ny-10065/29507236661385217/","200 E 62nd St, Unit 7C")</f>
        <v>200 E 62nd St, Unit 7C</v>
      </c>
      <c r="B1764" s="2" t="str">
        <f t="shared" si="296"/>
        <v>200 E 62</v>
      </c>
      <c r="C1764" s="1" t="s">
        <v>53</v>
      </c>
      <c r="D1764" s="1" t="s">
        <v>41</v>
      </c>
      <c r="E1764" s="3">
        <v>1805000</v>
      </c>
      <c r="F1764" s="1">
        <v>1576.41921397379</v>
      </c>
      <c r="G1764" s="1">
        <v>3</v>
      </c>
      <c r="H1764" s="1">
        <v>1</v>
      </c>
      <c r="I1764" s="1">
        <v>1</v>
      </c>
      <c r="J1764" s="1">
        <v>1.5</v>
      </c>
      <c r="K1764" s="1">
        <v>1</v>
      </c>
      <c r="L1764" s="1">
        <v>1</v>
      </c>
      <c r="M1764" s="4">
        <v>1145</v>
      </c>
      <c r="N1764" s="1">
        <v>1221</v>
      </c>
      <c r="O1764" s="1">
        <v>2623</v>
      </c>
      <c r="P1764" s="1">
        <v>1402</v>
      </c>
      <c r="Q1764" s="1" t="s">
        <v>42</v>
      </c>
      <c r="S1764" s="1" t="s">
        <v>42</v>
      </c>
      <c r="T1764" s="1" t="s">
        <v>203</v>
      </c>
      <c r="U1764" s="1">
        <v>217</v>
      </c>
      <c r="V1764" s="5">
        <v>43635</v>
      </c>
      <c r="W1764" s="5">
        <v>43056</v>
      </c>
      <c r="X1764" s="1">
        <v>1850000</v>
      </c>
      <c r="Y1764" s="1">
        <v>1850000</v>
      </c>
      <c r="Z1764" s="5">
        <v>43273</v>
      </c>
      <c r="AA1764" s="1">
        <v>1805000</v>
      </c>
      <c r="AB1764" s="1" t="s">
        <v>1323</v>
      </c>
      <c r="AC1764" s="5">
        <v>43294</v>
      </c>
      <c r="AF1764" s="1">
        <v>10065</v>
      </c>
      <c r="AI1764" s="1" t="s">
        <v>156</v>
      </c>
      <c r="AJ1764" s="1">
        <v>1967</v>
      </c>
      <c r="AK1764" s="1" t="s">
        <v>81</v>
      </c>
      <c r="AL1764" s="1">
        <v>113</v>
      </c>
    </row>
    <row r="1765" spans="1:38" x14ac:dyDescent="0.2">
      <c r="A1765" s="2" t="str">
        <f>HYPERLINK("https://www.compass.com/listing/200-east-62nd-street-unit-8d-manhattan-ny-10065/176662772090689281/","200 E 62nd St, Unit 8D")</f>
        <v>200 E 62nd St, Unit 8D</v>
      </c>
      <c r="B1765" s="2" t="str">
        <f t="shared" si="296"/>
        <v>200 E 62</v>
      </c>
      <c r="C1765" s="1" t="s">
        <v>53</v>
      </c>
      <c r="D1765" s="1" t="s">
        <v>41</v>
      </c>
      <c r="E1765" s="3">
        <v>2520169</v>
      </c>
      <c r="F1765" s="1">
        <v>1276.0348101265799</v>
      </c>
      <c r="G1765" s="1">
        <v>5.5</v>
      </c>
      <c r="H1765" s="1">
        <v>3</v>
      </c>
      <c r="I1765" s="1">
        <v>3</v>
      </c>
      <c r="J1765" s="1">
        <v>2.5</v>
      </c>
      <c r="K1765" s="1">
        <v>2</v>
      </c>
      <c r="L1765" s="1">
        <v>1</v>
      </c>
      <c r="M1765" s="4">
        <v>1975</v>
      </c>
      <c r="N1765" s="1">
        <v>2074</v>
      </c>
      <c r="O1765" s="1">
        <v>4397</v>
      </c>
      <c r="P1765" s="1">
        <v>2323</v>
      </c>
      <c r="Q1765" s="1" t="s">
        <v>42</v>
      </c>
      <c r="S1765" s="1" t="s">
        <v>42</v>
      </c>
      <c r="T1765" s="1" t="s">
        <v>203</v>
      </c>
      <c r="U1765" s="1">
        <v>69</v>
      </c>
      <c r="V1765" s="5">
        <v>43694</v>
      </c>
      <c r="W1765" s="5">
        <v>43496</v>
      </c>
      <c r="X1765" s="1">
        <v>2675000</v>
      </c>
      <c r="Y1765" s="1">
        <v>2675000</v>
      </c>
      <c r="Z1765" s="5">
        <v>43565</v>
      </c>
      <c r="AA1765" s="1">
        <v>2520168.75</v>
      </c>
      <c r="AB1765" s="1" t="s">
        <v>1324</v>
      </c>
      <c r="AC1765" s="5">
        <v>43629</v>
      </c>
      <c r="AF1765" s="1">
        <v>10065</v>
      </c>
      <c r="AI1765" s="1" t="s">
        <v>156</v>
      </c>
      <c r="AJ1765" s="1">
        <v>1967</v>
      </c>
      <c r="AK1765" s="1" t="s">
        <v>81</v>
      </c>
      <c r="AL1765" s="1">
        <v>113</v>
      </c>
    </row>
    <row r="1766" spans="1:38" x14ac:dyDescent="0.2">
      <c r="A1766" s="2" t="str">
        <f>HYPERLINK("https://www.compass.com/listing/200-east-62nd-street-unit-4c-manhattan-ny-10065/4852282989226232641/","200 E 62nd St, Unit 4C")</f>
        <v>200 E 62nd St, Unit 4C</v>
      </c>
      <c r="B1766" s="2" t="str">
        <f t="shared" si="296"/>
        <v>200 E 62</v>
      </c>
      <c r="C1766" s="1" t="s">
        <v>53</v>
      </c>
      <c r="D1766" s="1" t="s">
        <v>41</v>
      </c>
      <c r="E1766" s="3">
        <v>1600000</v>
      </c>
      <c r="F1766" s="1">
        <v>1397.37991266375</v>
      </c>
      <c r="G1766" s="1">
        <v>3</v>
      </c>
      <c r="H1766" s="1">
        <v>1</v>
      </c>
      <c r="I1766" s="1">
        <v>1</v>
      </c>
      <c r="J1766" s="1">
        <v>1.5</v>
      </c>
      <c r="K1766" s="1">
        <v>1</v>
      </c>
      <c r="L1766" s="1">
        <v>1</v>
      </c>
      <c r="M1766" s="4">
        <v>1145</v>
      </c>
      <c r="N1766" s="1">
        <v>1208</v>
      </c>
      <c r="O1766" s="1">
        <v>2527</v>
      </c>
      <c r="P1766" s="1">
        <v>1319</v>
      </c>
      <c r="Q1766" s="1" t="s">
        <v>42</v>
      </c>
      <c r="S1766" s="1" t="s">
        <v>42</v>
      </c>
      <c r="T1766" s="1" t="s">
        <v>203</v>
      </c>
      <c r="U1766" s="1">
        <v>69</v>
      </c>
      <c r="V1766" s="5">
        <v>43635</v>
      </c>
      <c r="W1766" s="5">
        <v>42893</v>
      </c>
      <c r="X1766" s="1">
        <v>1695000</v>
      </c>
      <c r="Y1766" s="1">
        <v>1695000</v>
      </c>
      <c r="Z1766" s="5">
        <v>42962</v>
      </c>
      <c r="AA1766" s="1">
        <v>1600000</v>
      </c>
      <c r="AB1766" s="1" t="s">
        <v>1325</v>
      </c>
      <c r="AC1766" s="5">
        <v>43011</v>
      </c>
      <c r="AF1766" s="1">
        <v>10065</v>
      </c>
      <c r="AI1766" s="1" t="s">
        <v>156</v>
      </c>
      <c r="AJ1766" s="1">
        <v>1967</v>
      </c>
      <c r="AK1766" s="1" t="s">
        <v>81</v>
      </c>
      <c r="AL1766" s="1">
        <v>113</v>
      </c>
    </row>
    <row r="1767" spans="1:38" x14ac:dyDescent="0.2">
      <c r="A1767" s="2" t="str">
        <f>HYPERLINK("https://www.compass.com/listing/50-west-30th-street-unit-6c-manhattan-ny-10001/167434863283139857/","50 W 30th St, Unit 6C")</f>
        <v>50 W 30th St, Unit 6C</v>
      </c>
      <c r="B1767" s="2" t="str">
        <f t="shared" ref="B1767:B1768" si="297">HYPERLINK("https://www.compass.com/building/the-noma-manhattan-ny/282058879016139621/","The NOMA")</f>
        <v>The NOMA</v>
      </c>
      <c r="C1767" s="1" t="s">
        <v>95</v>
      </c>
      <c r="D1767" s="1" t="s">
        <v>41</v>
      </c>
      <c r="E1767" s="3">
        <v>1471371</v>
      </c>
      <c r="F1767" s="1">
        <v>2166.9679675994098</v>
      </c>
      <c r="H1767" s="1">
        <v>1</v>
      </c>
      <c r="J1767" s="1">
        <v>1</v>
      </c>
      <c r="K1767" s="1">
        <v>1</v>
      </c>
      <c r="M1767" s="1">
        <v>679</v>
      </c>
      <c r="N1767" s="1">
        <v>861</v>
      </c>
      <c r="O1767" s="1">
        <v>1969</v>
      </c>
      <c r="P1767" s="1">
        <v>1108</v>
      </c>
      <c r="Q1767" s="1" t="s">
        <v>42</v>
      </c>
      <c r="S1767" s="1" t="s">
        <v>42</v>
      </c>
      <c r="T1767" s="1" t="s">
        <v>203</v>
      </c>
      <c r="AA1767" s="1">
        <v>1471371.25</v>
      </c>
      <c r="AB1767" s="1" t="s">
        <v>1326</v>
      </c>
      <c r="AC1767" s="5">
        <v>43229</v>
      </c>
      <c r="AF1767" s="1">
        <v>10001</v>
      </c>
      <c r="AI1767" s="1" t="s">
        <v>45</v>
      </c>
      <c r="AJ1767" s="1">
        <v>2017</v>
      </c>
      <c r="AK1767" s="1" t="s">
        <v>55</v>
      </c>
      <c r="AL1767" s="1">
        <v>55</v>
      </c>
    </row>
    <row r="1768" spans="1:38" x14ac:dyDescent="0.2">
      <c r="A1768" s="2" t="str">
        <f>HYPERLINK("https://www.compass.com/listing/50-west-30th-street-unit-12c-manhattan-ny-10001/29374845166943089/","50 W 30th St, Unit 12C")</f>
        <v>50 W 30th St, Unit 12C</v>
      </c>
      <c r="B1768" s="2" t="str">
        <f t="shared" si="297"/>
        <v>The NOMA</v>
      </c>
      <c r="C1768" s="1" t="s">
        <v>95</v>
      </c>
      <c r="D1768" s="1" t="s">
        <v>41</v>
      </c>
      <c r="E1768" s="3">
        <v>1530125</v>
      </c>
      <c r="F1768" s="1">
        <v>2253.4977908689202</v>
      </c>
      <c r="G1768" s="1">
        <v>2</v>
      </c>
      <c r="H1768" s="1">
        <v>1</v>
      </c>
      <c r="I1768" s="1">
        <v>1</v>
      </c>
      <c r="J1768" s="1">
        <v>1</v>
      </c>
      <c r="K1768" s="1">
        <v>1</v>
      </c>
      <c r="M1768" s="1">
        <v>679</v>
      </c>
      <c r="N1768" s="1">
        <v>861</v>
      </c>
      <c r="O1768" s="1">
        <v>1969</v>
      </c>
      <c r="P1768" s="1">
        <v>1108</v>
      </c>
      <c r="Q1768" s="1" t="s">
        <v>42</v>
      </c>
      <c r="S1768" s="1" t="s">
        <v>42</v>
      </c>
      <c r="T1768" s="1" t="s">
        <v>203</v>
      </c>
      <c r="V1768" s="5">
        <v>43241</v>
      </c>
      <c r="W1768" s="5">
        <v>42527</v>
      </c>
      <c r="X1768" s="1">
        <v>1570000</v>
      </c>
      <c r="Y1768" s="1">
        <v>1570000</v>
      </c>
      <c r="Z1768" s="5">
        <v>42527</v>
      </c>
      <c r="AA1768" s="1">
        <v>1530125</v>
      </c>
      <c r="AB1768" s="1" t="s">
        <v>1327</v>
      </c>
      <c r="AC1768" s="5">
        <v>43234</v>
      </c>
      <c r="AF1768" s="1">
        <v>10001</v>
      </c>
      <c r="AI1768" s="1" t="s">
        <v>45</v>
      </c>
      <c r="AJ1768" s="1">
        <v>2017</v>
      </c>
      <c r="AK1768" s="1" t="s">
        <v>87</v>
      </c>
      <c r="AL1768" s="1">
        <v>55</v>
      </c>
    </row>
    <row r="1769" spans="1:38" x14ac:dyDescent="0.2">
      <c r="A1769" s="2" t="str">
        <f>HYPERLINK("https://www.compass.com/listing/520-west-45th-street-unit-2b-manhattan-ny-10036/29389764406929457/","520 W 45th St, Unit 2B")</f>
        <v>520 W 45th St, Unit 2B</v>
      </c>
      <c r="B1769" s="2" t="str">
        <f t="shared" ref="B1769:B1777" si="298">HYPERLINK("https://www.compass.com/building/inkwell-manhattan-ny/282026081983148485/","Inkwell")</f>
        <v>Inkwell</v>
      </c>
      <c r="C1769" s="1" t="s">
        <v>57</v>
      </c>
      <c r="D1769" s="1" t="s">
        <v>41</v>
      </c>
      <c r="E1769" s="3">
        <v>1985587</v>
      </c>
      <c r="F1769" s="1">
        <v>1520.3575803981601</v>
      </c>
      <c r="G1769" s="1">
        <v>4</v>
      </c>
      <c r="H1769" s="1">
        <v>2</v>
      </c>
      <c r="I1769" s="1">
        <v>2</v>
      </c>
      <c r="J1769" s="1">
        <v>2</v>
      </c>
      <c r="M1769" s="4">
        <v>1306</v>
      </c>
      <c r="N1769" s="1">
        <v>1791</v>
      </c>
      <c r="O1769" s="1">
        <v>3374</v>
      </c>
      <c r="P1769" s="1">
        <v>1583</v>
      </c>
      <c r="Q1769" s="1" t="s">
        <v>42</v>
      </c>
      <c r="S1769" s="1" t="s">
        <v>42</v>
      </c>
      <c r="T1769" s="1" t="s">
        <v>203</v>
      </c>
      <c r="U1769" s="1">
        <v>26</v>
      </c>
      <c r="V1769" s="5">
        <v>43666</v>
      </c>
      <c r="W1769" s="5">
        <v>42803</v>
      </c>
      <c r="X1769" s="1">
        <v>1950000</v>
      </c>
      <c r="Y1769" s="1">
        <v>1950000</v>
      </c>
      <c r="Z1769" s="5">
        <v>42829</v>
      </c>
      <c r="AA1769" s="1">
        <v>1985587</v>
      </c>
      <c r="AB1769" s="1" t="s">
        <v>1328</v>
      </c>
      <c r="AC1769" s="5">
        <v>42933</v>
      </c>
      <c r="AF1769" s="1">
        <v>10036</v>
      </c>
      <c r="AI1769" s="1" t="s">
        <v>58</v>
      </c>
      <c r="AJ1769" s="1">
        <v>1905</v>
      </c>
      <c r="AK1769" s="1" t="s">
        <v>137</v>
      </c>
      <c r="AL1769" s="1">
        <v>18</v>
      </c>
    </row>
    <row r="1770" spans="1:38" x14ac:dyDescent="0.2">
      <c r="A1770" s="2" t="str">
        <f>HYPERLINK("https://www.compass.com/listing/520-west-45th-street-unit-2d-manhattan-ny-10036/29389765304454641/","520 W 45th St, Unit 2D")</f>
        <v>520 W 45th St, Unit 2D</v>
      </c>
      <c r="B1770" s="2" t="str">
        <f t="shared" si="298"/>
        <v>Inkwell</v>
      </c>
      <c r="C1770" s="1" t="s">
        <v>57</v>
      </c>
      <c r="D1770" s="1" t="s">
        <v>41</v>
      </c>
      <c r="E1770" s="3">
        <v>1781938</v>
      </c>
      <c r="F1770" s="1">
        <v>1471.4595375722499</v>
      </c>
      <c r="G1770" s="1">
        <v>4</v>
      </c>
      <c r="H1770" s="1">
        <v>2</v>
      </c>
      <c r="I1770" s="1">
        <v>2</v>
      </c>
      <c r="J1770" s="1">
        <v>2</v>
      </c>
      <c r="M1770" s="4">
        <v>1211</v>
      </c>
      <c r="N1770" s="1">
        <v>1661</v>
      </c>
      <c r="O1770" s="1">
        <v>3129</v>
      </c>
      <c r="P1770" s="1">
        <v>1468</v>
      </c>
      <c r="Q1770" s="1" t="s">
        <v>42</v>
      </c>
      <c r="S1770" s="1" t="s">
        <v>42</v>
      </c>
      <c r="T1770" s="1" t="s">
        <v>203</v>
      </c>
      <c r="V1770" s="5">
        <v>43075</v>
      </c>
      <c r="W1770" s="5">
        <v>42709</v>
      </c>
      <c r="X1770" s="1">
        <v>1750000</v>
      </c>
      <c r="Y1770" s="1">
        <v>1750000</v>
      </c>
      <c r="Z1770" s="5">
        <v>42710</v>
      </c>
      <c r="AA1770" s="1">
        <v>1781937.5</v>
      </c>
      <c r="AB1770" s="1" t="s">
        <v>1329</v>
      </c>
      <c r="AC1770" s="5">
        <v>42926</v>
      </c>
      <c r="AF1770" s="1">
        <v>10036</v>
      </c>
      <c r="AI1770" s="1" t="s">
        <v>58</v>
      </c>
      <c r="AJ1770" s="1">
        <v>1905</v>
      </c>
      <c r="AK1770" s="1" t="s">
        <v>137</v>
      </c>
      <c r="AL1770" s="1">
        <v>18</v>
      </c>
    </row>
    <row r="1771" spans="1:38" x14ac:dyDescent="0.2">
      <c r="A1771" s="2" t="str">
        <f>HYPERLINK("https://www.compass.com/listing/520-west-45th-street-unit-3a-manhattan-ny-10036/29389765681997889/","520 W 45th St, Unit 3A")</f>
        <v>520 W 45th St, Unit 3A</v>
      </c>
      <c r="B1771" s="2" t="str">
        <f t="shared" si="298"/>
        <v>Inkwell</v>
      </c>
      <c r="C1771" s="1" t="s">
        <v>57</v>
      </c>
      <c r="D1771" s="1" t="s">
        <v>41</v>
      </c>
      <c r="E1771" s="3">
        <v>2150000</v>
      </c>
      <c r="F1771" s="1">
        <v>1534.6181299072</v>
      </c>
      <c r="G1771" s="1">
        <v>4</v>
      </c>
      <c r="H1771" s="1">
        <v>2</v>
      </c>
      <c r="I1771" s="1">
        <v>2</v>
      </c>
      <c r="J1771" s="1">
        <v>2</v>
      </c>
      <c r="M1771" s="4">
        <v>1401</v>
      </c>
      <c r="N1771" s="1">
        <v>1921</v>
      </c>
      <c r="O1771" s="1">
        <v>3619</v>
      </c>
      <c r="P1771" s="1">
        <v>1698</v>
      </c>
      <c r="Q1771" s="1" t="s">
        <v>42</v>
      </c>
      <c r="S1771" s="1" t="s">
        <v>42</v>
      </c>
      <c r="T1771" s="1" t="s">
        <v>203</v>
      </c>
      <c r="U1771" s="1">
        <v>71</v>
      </c>
      <c r="V1771" s="5">
        <v>43028</v>
      </c>
      <c r="W1771" s="5">
        <v>42662</v>
      </c>
      <c r="X1771" s="1">
        <v>2200000</v>
      </c>
      <c r="Y1771" s="1">
        <v>2200000</v>
      </c>
      <c r="Z1771" s="5">
        <v>42734</v>
      </c>
      <c r="AA1771" s="1">
        <v>2150000</v>
      </c>
      <c r="AB1771" s="1" t="s">
        <v>1330</v>
      </c>
      <c r="AC1771" s="5">
        <v>42930</v>
      </c>
      <c r="AF1771" s="1">
        <v>10036</v>
      </c>
      <c r="AI1771" s="1" t="s">
        <v>58</v>
      </c>
      <c r="AJ1771" s="1">
        <v>1905</v>
      </c>
      <c r="AK1771" s="1" t="s">
        <v>59</v>
      </c>
      <c r="AL1771" s="1">
        <v>18</v>
      </c>
    </row>
    <row r="1772" spans="1:38" x14ac:dyDescent="0.2">
      <c r="A1772" s="2" t="str">
        <f>HYPERLINK("https://www.compass.com/listing/520-west-45th-street-unit-3b-manhattan-ny-10036/29389766076142673/","520 W 45th St, Unit 3B")</f>
        <v>520 W 45th St, Unit 3B</v>
      </c>
      <c r="B1772" s="2" t="str">
        <f t="shared" si="298"/>
        <v>Inkwell</v>
      </c>
      <c r="C1772" s="1" t="s">
        <v>57</v>
      </c>
      <c r="D1772" s="1" t="s">
        <v>41</v>
      </c>
      <c r="E1772" s="3">
        <v>2064706</v>
      </c>
      <c r="F1772" s="1">
        <v>1580.9387442572699</v>
      </c>
      <c r="G1772" s="1">
        <v>4</v>
      </c>
      <c r="H1772" s="1">
        <v>2</v>
      </c>
      <c r="I1772" s="1">
        <v>2</v>
      </c>
      <c r="J1772" s="1">
        <v>2</v>
      </c>
      <c r="M1772" s="4">
        <v>1306</v>
      </c>
      <c r="N1772" s="1">
        <v>1791</v>
      </c>
      <c r="O1772" s="1">
        <v>3374</v>
      </c>
      <c r="P1772" s="1">
        <v>1583</v>
      </c>
      <c r="Q1772" s="1" t="s">
        <v>42</v>
      </c>
      <c r="S1772" s="1" t="s">
        <v>42</v>
      </c>
      <c r="T1772" s="1" t="s">
        <v>203</v>
      </c>
      <c r="V1772" s="5">
        <v>43666</v>
      </c>
      <c r="W1772" s="5">
        <v>42780</v>
      </c>
      <c r="X1772" s="1">
        <v>2050000</v>
      </c>
      <c r="Y1772" s="1">
        <v>2050000</v>
      </c>
      <c r="Z1772" s="5">
        <v>42780</v>
      </c>
      <c r="AA1772" s="1">
        <v>2064706</v>
      </c>
      <c r="AB1772" s="1" t="s">
        <v>1331</v>
      </c>
      <c r="AC1772" s="5">
        <v>42930</v>
      </c>
      <c r="AF1772" s="1">
        <v>10036</v>
      </c>
      <c r="AI1772" s="1" t="s">
        <v>58</v>
      </c>
      <c r="AJ1772" s="1">
        <v>1905</v>
      </c>
      <c r="AK1772" s="1" t="s">
        <v>137</v>
      </c>
      <c r="AL1772" s="1">
        <v>18</v>
      </c>
    </row>
    <row r="1773" spans="1:38" x14ac:dyDescent="0.2">
      <c r="A1773" s="2" t="str">
        <f>HYPERLINK("https://www.compass.com/listing/520-west-45th-street-unit-4a-manhattan-ny-10036/29389767418319969/","520 W 45th St, Unit 4A")</f>
        <v>520 W 45th St, Unit 4A</v>
      </c>
      <c r="B1773" s="2" t="str">
        <f t="shared" si="298"/>
        <v>Inkwell</v>
      </c>
      <c r="C1773" s="1" t="s">
        <v>57</v>
      </c>
      <c r="D1773" s="1" t="s">
        <v>41</v>
      </c>
      <c r="E1773" s="3">
        <v>2316519</v>
      </c>
      <c r="F1773" s="1">
        <v>1653.4751962883599</v>
      </c>
      <c r="G1773" s="1">
        <v>4</v>
      </c>
      <c r="H1773" s="1">
        <v>2</v>
      </c>
      <c r="I1773" s="1">
        <v>2</v>
      </c>
      <c r="J1773" s="1">
        <v>2</v>
      </c>
      <c r="M1773" s="4">
        <v>1401</v>
      </c>
      <c r="N1773" s="1">
        <v>1921</v>
      </c>
      <c r="O1773" s="1">
        <v>3619</v>
      </c>
      <c r="P1773" s="1">
        <v>1698</v>
      </c>
      <c r="Q1773" s="1" t="s">
        <v>42</v>
      </c>
      <c r="S1773" s="1" t="s">
        <v>42</v>
      </c>
      <c r="T1773" s="1" t="s">
        <v>203</v>
      </c>
      <c r="U1773" s="1">
        <v>44</v>
      </c>
      <c r="V1773" s="5">
        <v>43104</v>
      </c>
      <c r="W1773" s="5">
        <v>42738</v>
      </c>
      <c r="X1773" s="1">
        <v>2400000</v>
      </c>
      <c r="Y1773" s="1">
        <v>2400000</v>
      </c>
      <c r="Z1773" s="5">
        <v>42783</v>
      </c>
      <c r="AA1773" s="1">
        <v>2316518.75</v>
      </c>
      <c r="AB1773" s="1" t="s">
        <v>1332</v>
      </c>
      <c r="AC1773" s="5">
        <v>42928</v>
      </c>
      <c r="AF1773" s="1">
        <v>10036</v>
      </c>
      <c r="AI1773" s="1" t="s">
        <v>58</v>
      </c>
      <c r="AJ1773" s="1">
        <v>1905</v>
      </c>
      <c r="AK1773" s="1" t="s">
        <v>137</v>
      </c>
      <c r="AL1773" s="1">
        <v>18</v>
      </c>
    </row>
    <row r="1774" spans="1:38" x14ac:dyDescent="0.2">
      <c r="A1774" s="2" t="str">
        <f>HYPERLINK("https://www.compass.com/listing/520-west-45th-street-unit-4c-manhattan-ny-10036/29389768332798065/","520 W 45th St, Unit 4C")</f>
        <v>520 W 45th St, Unit 4C</v>
      </c>
      <c r="B1774" s="2" t="str">
        <f t="shared" si="298"/>
        <v>Inkwell</v>
      </c>
      <c r="C1774" s="1" t="s">
        <v>57</v>
      </c>
      <c r="D1774" s="1" t="s">
        <v>41</v>
      </c>
      <c r="E1774" s="3">
        <v>1987500</v>
      </c>
      <c r="F1774" s="1">
        <v>1518.3346065699</v>
      </c>
      <c r="G1774" s="1">
        <v>3</v>
      </c>
      <c r="H1774" s="1">
        <v>2</v>
      </c>
      <c r="I1774" s="1">
        <v>2</v>
      </c>
      <c r="J1774" s="1">
        <v>2</v>
      </c>
      <c r="M1774" s="4">
        <v>1309</v>
      </c>
      <c r="N1774" s="1">
        <v>1</v>
      </c>
      <c r="O1774" s="1">
        <v>2</v>
      </c>
      <c r="P1774" s="1">
        <v>1</v>
      </c>
      <c r="Q1774" s="1" t="s">
        <v>42</v>
      </c>
      <c r="S1774" s="1" t="s">
        <v>42</v>
      </c>
      <c r="T1774" s="1" t="s">
        <v>203</v>
      </c>
      <c r="U1774" s="1">
        <v>27</v>
      </c>
      <c r="V1774" s="5">
        <v>43649</v>
      </c>
      <c r="W1774" s="5">
        <v>42985</v>
      </c>
      <c r="X1774" s="1">
        <v>1975000</v>
      </c>
      <c r="Y1774" s="1">
        <v>1975000</v>
      </c>
      <c r="Z1774" s="5">
        <v>43012</v>
      </c>
      <c r="AA1774" s="1">
        <v>1987500</v>
      </c>
      <c r="AB1774" s="1" t="s">
        <v>1333</v>
      </c>
      <c r="AC1774" s="5">
        <v>43053</v>
      </c>
      <c r="AF1774" s="1">
        <v>10036</v>
      </c>
      <c r="AI1774" s="1" t="s">
        <v>58</v>
      </c>
      <c r="AJ1774" s="1">
        <v>1905</v>
      </c>
      <c r="AK1774" s="1" t="s">
        <v>137</v>
      </c>
      <c r="AL1774" s="1">
        <v>18</v>
      </c>
    </row>
    <row r="1775" spans="1:38" x14ac:dyDescent="0.2">
      <c r="A1775" s="2" t="str">
        <f>HYPERLINK("https://www.compass.com/listing/520-west-45th-street-unit-5a-manhattan-ny-10036/29389769255489089/","520 W 45th St, Unit 5A")</f>
        <v>520 W 45th St, Unit 5A</v>
      </c>
      <c r="B1775" s="2" t="str">
        <f t="shared" si="298"/>
        <v>Inkwell</v>
      </c>
      <c r="C1775" s="1" t="s">
        <v>57</v>
      </c>
      <c r="D1775" s="1" t="s">
        <v>41</v>
      </c>
      <c r="E1775" s="3">
        <v>2674181</v>
      </c>
      <c r="F1775" s="1">
        <v>1908.7658815131999</v>
      </c>
      <c r="G1775" s="1">
        <v>4</v>
      </c>
      <c r="H1775" s="1">
        <v>2</v>
      </c>
      <c r="I1775" s="1">
        <v>2</v>
      </c>
      <c r="J1775" s="1">
        <v>2</v>
      </c>
      <c r="M1775" s="4">
        <v>1401</v>
      </c>
      <c r="N1775" s="1">
        <v>1</v>
      </c>
      <c r="O1775" s="1">
        <v>2</v>
      </c>
      <c r="P1775" s="1">
        <v>1</v>
      </c>
      <c r="Q1775" s="1" t="s">
        <v>42</v>
      </c>
      <c r="S1775" s="1" t="s">
        <v>42</v>
      </c>
      <c r="T1775" s="1" t="s">
        <v>203</v>
      </c>
      <c r="U1775" s="1">
        <v>62</v>
      </c>
      <c r="V1775" s="5">
        <v>43650</v>
      </c>
      <c r="W1775" s="5">
        <v>42830</v>
      </c>
      <c r="X1775" s="1">
        <v>2600000</v>
      </c>
      <c r="Y1775" s="1">
        <v>2650000</v>
      </c>
      <c r="Z1775" s="5">
        <v>42892</v>
      </c>
      <c r="AA1775" s="1">
        <v>2674181</v>
      </c>
      <c r="AB1775" s="1" t="s">
        <v>1334</v>
      </c>
      <c r="AC1775" s="5">
        <v>42973</v>
      </c>
      <c r="AF1775" s="1">
        <v>10036</v>
      </c>
      <c r="AI1775" s="1" t="s">
        <v>58</v>
      </c>
      <c r="AJ1775" s="1">
        <v>1905</v>
      </c>
      <c r="AK1775" s="1" t="s">
        <v>137</v>
      </c>
      <c r="AL1775" s="1">
        <v>18</v>
      </c>
    </row>
    <row r="1776" spans="1:38" x14ac:dyDescent="0.2">
      <c r="A1776" s="2" t="str">
        <f>HYPERLINK("https://www.compass.com/listing/520-west-45th-street-unit-2a-manhattan-ny-10036/803355547101362449/","520 W 45th St, Unit 2A")</f>
        <v>520 W 45th St, Unit 2A</v>
      </c>
      <c r="B1776" s="2" t="str">
        <f t="shared" si="298"/>
        <v>Inkwell</v>
      </c>
      <c r="C1776" s="1" t="s">
        <v>57</v>
      </c>
      <c r="D1776" s="1" t="s">
        <v>41</v>
      </c>
      <c r="E1776" s="3">
        <v>2138325</v>
      </c>
      <c r="F1776" s="1">
        <v>1526.2847965738699</v>
      </c>
      <c r="G1776" s="1">
        <v>4</v>
      </c>
      <c r="H1776" s="1">
        <v>2</v>
      </c>
      <c r="I1776" s="1">
        <v>2</v>
      </c>
      <c r="J1776" s="1">
        <v>2</v>
      </c>
      <c r="M1776" s="4">
        <v>1401</v>
      </c>
      <c r="N1776" s="1">
        <v>1921</v>
      </c>
      <c r="O1776" s="1">
        <v>3619</v>
      </c>
      <c r="P1776" s="1">
        <v>1698</v>
      </c>
      <c r="Q1776" s="1" t="s">
        <v>42</v>
      </c>
      <c r="S1776" s="1" t="s">
        <v>42</v>
      </c>
      <c r="T1776" s="1" t="s">
        <v>203</v>
      </c>
      <c r="V1776" s="5">
        <v>43028</v>
      </c>
      <c r="W1776" s="5">
        <v>42662</v>
      </c>
      <c r="X1776" s="1">
        <v>2100000</v>
      </c>
      <c r="Y1776" s="1">
        <v>2100000</v>
      </c>
      <c r="Z1776" s="5">
        <v>42663</v>
      </c>
      <c r="AA1776" s="1">
        <v>2138325</v>
      </c>
      <c r="AB1776" s="1" t="s">
        <v>1335</v>
      </c>
      <c r="AC1776" s="5">
        <v>42916</v>
      </c>
      <c r="AF1776" s="1">
        <v>10036</v>
      </c>
      <c r="AI1776" s="1" t="s">
        <v>58</v>
      </c>
      <c r="AJ1776" s="1">
        <v>1905</v>
      </c>
      <c r="AK1776" s="1" t="s">
        <v>59</v>
      </c>
      <c r="AL1776" s="1">
        <v>18</v>
      </c>
    </row>
    <row r="1777" spans="1:38" x14ac:dyDescent="0.2">
      <c r="A1777" s="2" t="str">
        <f>HYPERLINK("https://www.compass.com/listing/520-west-45th-street-unit-4b-manhattan-ny-10036/803371950495304361/","520 W 45th St, Unit 4B")</f>
        <v>520 W 45th St, Unit 4B</v>
      </c>
      <c r="B1777" s="2" t="str">
        <f t="shared" si="298"/>
        <v>Inkwell</v>
      </c>
      <c r="C1777" s="1" t="s">
        <v>57</v>
      </c>
      <c r="D1777" s="1" t="s">
        <v>41</v>
      </c>
      <c r="E1777" s="3">
        <v>2225000</v>
      </c>
      <c r="F1777" s="1">
        <v>1703.67534456355</v>
      </c>
      <c r="G1777" s="1">
        <v>4</v>
      </c>
      <c r="H1777" s="1">
        <v>2</v>
      </c>
      <c r="I1777" s="1">
        <v>2</v>
      </c>
      <c r="J1777" s="1">
        <v>2</v>
      </c>
      <c r="M1777" s="4">
        <v>1306</v>
      </c>
      <c r="N1777" s="1">
        <v>1</v>
      </c>
      <c r="O1777" s="1">
        <v>2</v>
      </c>
      <c r="P1777" s="1">
        <v>1</v>
      </c>
      <c r="Q1777" s="1" t="s">
        <v>42</v>
      </c>
      <c r="S1777" s="1" t="s">
        <v>42</v>
      </c>
      <c r="T1777" s="1" t="s">
        <v>203</v>
      </c>
      <c r="U1777" s="1">
        <v>230</v>
      </c>
      <c r="V1777" s="5">
        <v>43028</v>
      </c>
      <c r="W1777" s="5">
        <v>42662</v>
      </c>
      <c r="X1777" s="1">
        <v>2225000</v>
      </c>
      <c r="Y1777" s="1">
        <v>2225000</v>
      </c>
      <c r="Z1777" s="5">
        <v>42893</v>
      </c>
      <c r="AA1777" s="1">
        <v>2225000</v>
      </c>
      <c r="AB1777" s="1" t="s">
        <v>1336</v>
      </c>
      <c r="AC1777" s="5">
        <v>42940</v>
      </c>
      <c r="AF1777" s="1">
        <v>10036</v>
      </c>
      <c r="AI1777" s="1" t="s">
        <v>58</v>
      </c>
      <c r="AJ1777" s="1">
        <v>1905</v>
      </c>
      <c r="AK1777" s="1" t="s">
        <v>59</v>
      </c>
      <c r="AL1777" s="1">
        <v>18</v>
      </c>
    </row>
    <row r="1778" spans="1:38" x14ac:dyDescent="0.2">
      <c r="A1778" s="2" t="str">
        <f>HYPERLINK("https://www.compass.com/listing/50-west-30th-street-unit-3b-manhattan-ny-10001/4855978358426568801/","50 W 30th St, Unit 3B")</f>
        <v>50 W 30th St, Unit 3B</v>
      </c>
      <c r="B1778" s="2" t="str">
        <f>HYPERLINK("https://www.compass.com/building/the-noma-manhattan-ny/282058879016139621/","The NOMA")</f>
        <v>The NOMA</v>
      </c>
      <c r="C1778" s="1" t="s">
        <v>95</v>
      </c>
      <c r="D1778" s="1" t="s">
        <v>41</v>
      </c>
      <c r="E1778" s="3">
        <v>2195000</v>
      </c>
      <c r="F1778" s="1">
        <v>1765.8889782783499</v>
      </c>
      <c r="G1778" s="1">
        <v>4</v>
      </c>
      <c r="H1778" s="1">
        <v>2</v>
      </c>
      <c r="I1778" s="1">
        <v>2</v>
      </c>
      <c r="J1778" s="1">
        <v>2</v>
      </c>
      <c r="K1778" s="1">
        <v>2</v>
      </c>
      <c r="M1778" s="4">
        <v>1243</v>
      </c>
      <c r="N1778" s="1">
        <v>1525</v>
      </c>
      <c r="O1778" s="1">
        <v>3487</v>
      </c>
      <c r="P1778" s="1">
        <v>1962</v>
      </c>
      <c r="Q1778" s="1" t="s">
        <v>42</v>
      </c>
      <c r="S1778" s="1" t="s">
        <v>42</v>
      </c>
      <c r="T1778" s="1" t="s">
        <v>203</v>
      </c>
      <c r="V1778" s="5">
        <v>43648</v>
      </c>
      <c r="W1778" s="5">
        <v>42564</v>
      </c>
      <c r="X1778" s="1">
        <v>2195000</v>
      </c>
      <c r="Y1778" s="1">
        <v>2195000</v>
      </c>
      <c r="Z1778" s="5">
        <v>42564</v>
      </c>
      <c r="AA1778" s="1">
        <v>2195000</v>
      </c>
      <c r="AB1778" s="1" t="s">
        <v>204</v>
      </c>
      <c r="AC1778" s="5">
        <v>43224</v>
      </c>
      <c r="AF1778" s="1">
        <v>10001</v>
      </c>
      <c r="AI1778" s="1" t="s">
        <v>45</v>
      </c>
      <c r="AJ1778" s="1">
        <v>2017</v>
      </c>
      <c r="AK1778" s="1" t="s">
        <v>87</v>
      </c>
      <c r="AL1778" s="1">
        <v>55</v>
      </c>
    </row>
    <row r="1779" spans="1:38" x14ac:dyDescent="0.2">
      <c r="A1779" s="2" t="str">
        <f>HYPERLINK("https://www.compass.com/listing/200-east-62nd-street-unit-26b-manhattan-ny-10065/99134688509101713/","200 E 62nd St, Unit 26B")</f>
        <v>200 E 62nd St, Unit 26B</v>
      </c>
      <c r="B1779" s="2" t="str">
        <f t="shared" ref="B1779:B1781" si="299">HYPERLINK("https://www.compass.com/building/200-e-62-manhattan-ny/282037506914928197/","200 E 62")</f>
        <v>200 E 62</v>
      </c>
      <c r="C1779" s="1" t="s">
        <v>53</v>
      </c>
      <c r="D1779" s="1" t="s">
        <v>41</v>
      </c>
      <c r="E1779" s="3">
        <v>2900000</v>
      </c>
      <c r="F1779" s="1">
        <v>1710.9144542772799</v>
      </c>
      <c r="G1779" s="1">
        <v>5</v>
      </c>
      <c r="H1779" s="1">
        <v>2</v>
      </c>
      <c r="I1779" s="1">
        <v>3</v>
      </c>
      <c r="J1779" s="1">
        <v>2.5</v>
      </c>
      <c r="K1779" s="1">
        <v>2</v>
      </c>
      <c r="L1779" s="1">
        <v>1</v>
      </c>
      <c r="M1779" s="4">
        <v>1695</v>
      </c>
      <c r="N1779" s="1">
        <v>1971</v>
      </c>
      <c r="O1779" s="1">
        <v>4689</v>
      </c>
      <c r="P1779" s="1">
        <v>2718</v>
      </c>
      <c r="Q1779" s="1" t="s">
        <v>42</v>
      </c>
      <c r="S1779" s="1" t="s">
        <v>42</v>
      </c>
      <c r="T1779" s="1" t="s">
        <v>203</v>
      </c>
      <c r="U1779" s="1">
        <v>197</v>
      </c>
      <c r="V1779" s="5">
        <v>43678</v>
      </c>
      <c r="W1779" s="5">
        <v>43389</v>
      </c>
      <c r="X1779" s="1">
        <v>3495000</v>
      </c>
      <c r="Y1779" s="1">
        <v>2950000</v>
      </c>
      <c r="Z1779" s="5">
        <v>43586</v>
      </c>
      <c r="AA1779" s="1">
        <v>2900000</v>
      </c>
      <c r="AB1779" s="1" t="s">
        <v>1337</v>
      </c>
      <c r="AC1779" s="5">
        <v>43630</v>
      </c>
      <c r="AF1779" s="1">
        <v>10065</v>
      </c>
      <c r="AI1779" s="1" t="s">
        <v>1338</v>
      </c>
      <c r="AJ1779" s="1">
        <v>1967</v>
      </c>
      <c r="AK1779" s="1" t="s">
        <v>81</v>
      </c>
      <c r="AL1779" s="1">
        <v>113</v>
      </c>
    </row>
    <row r="1780" spans="1:38" x14ac:dyDescent="0.2">
      <c r="A1780" s="2" t="str">
        <f>HYPERLINK("https://www.compass.com/listing/200-east-62nd-street-unit-6c-manhattan-ny-10065/4783558704995791841/","200 E 62nd St, Unit 6C")</f>
        <v>200 E 62nd St, Unit 6C</v>
      </c>
      <c r="B1780" s="2" t="str">
        <f t="shared" si="299"/>
        <v>200 E 62</v>
      </c>
      <c r="C1780" s="1" t="s">
        <v>53</v>
      </c>
      <c r="D1780" s="1" t="s">
        <v>41</v>
      </c>
      <c r="E1780" s="3">
        <v>1730000</v>
      </c>
      <c r="F1780" s="1">
        <v>1510.9170305676801</v>
      </c>
      <c r="G1780" s="1">
        <v>3</v>
      </c>
      <c r="H1780" s="1">
        <v>1</v>
      </c>
      <c r="I1780" s="1">
        <v>1</v>
      </c>
      <c r="J1780" s="1">
        <v>1.5</v>
      </c>
      <c r="K1780" s="1">
        <v>1</v>
      </c>
      <c r="L1780" s="1">
        <v>1</v>
      </c>
      <c r="M1780" s="4">
        <v>1145</v>
      </c>
      <c r="N1780" s="1">
        <v>1217</v>
      </c>
      <c r="O1780" s="1">
        <v>2545</v>
      </c>
      <c r="P1780" s="1">
        <v>1328</v>
      </c>
      <c r="Q1780" s="1" t="s">
        <v>42</v>
      </c>
      <c r="S1780" s="1" t="s">
        <v>42</v>
      </c>
      <c r="T1780" s="1" t="s">
        <v>203</v>
      </c>
      <c r="U1780" s="1">
        <v>216</v>
      </c>
      <c r="V1780" s="5">
        <v>43635</v>
      </c>
      <c r="W1780" s="5">
        <v>42837</v>
      </c>
      <c r="X1780" s="1">
        <v>1975000</v>
      </c>
      <c r="Y1780" s="1">
        <v>1825000</v>
      </c>
      <c r="Z1780" s="5">
        <v>43053</v>
      </c>
      <c r="AA1780" s="1">
        <v>1730000</v>
      </c>
      <c r="AB1780" s="1" t="s">
        <v>1339</v>
      </c>
      <c r="AC1780" s="5">
        <v>43112</v>
      </c>
      <c r="AF1780" s="1">
        <v>10065</v>
      </c>
      <c r="AI1780" s="1" t="s">
        <v>156</v>
      </c>
      <c r="AJ1780" s="1">
        <v>1967</v>
      </c>
      <c r="AK1780" s="1" t="s">
        <v>81</v>
      </c>
      <c r="AL1780" s="1">
        <v>113</v>
      </c>
    </row>
    <row r="1781" spans="1:38" x14ac:dyDescent="0.2">
      <c r="A1781" s="2" t="str">
        <f>HYPERLINK("https://www.compass.com/listing/200-east-62nd-street-unit-19c-manhattan-ny-10065/439800741499357817/","200 E 62nd St, Unit 19C")</f>
        <v>200 E 62nd St, Unit 19C</v>
      </c>
      <c r="B1781" s="2" t="str">
        <f t="shared" si="299"/>
        <v>200 E 62</v>
      </c>
      <c r="C1781" s="1" t="s">
        <v>53</v>
      </c>
      <c r="D1781" s="1" t="s">
        <v>41</v>
      </c>
      <c r="E1781" s="3">
        <v>1620000</v>
      </c>
      <c r="F1781" s="1">
        <v>1406.25</v>
      </c>
      <c r="G1781" s="1">
        <v>3.5</v>
      </c>
      <c r="H1781" s="1">
        <v>1</v>
      </c>
      <c r="I1781" s="1">
        <v>2</v>
      </c>
      <c r="J1781" s="1">
        <v>1.5</v>
      </c>
      <c r="K1781" s="1">
        <v>1</v>
      </c>
      <c r="L1781" s="1">
        <v>1</v>
      </c>
      <c r="M1781" s="4">
        <v>1152</v>
      </c>
      <c r="N1781" s="1">
        <v>1307</v>
      </c>
      <c r="O1781" s="1">
        <v>3045</v>
      </c>
      <c r="P1781" s="1">
        <v>1738</v>
      </c>
      <c r="Q1781" s="1" t="s">
        <v>42</v>
      </c>
      <c r="S1781" s="1" t="s">
        <v>42</v>
      </c>
      <c r="T1781" s="1" t="s">
        <v>203</v>
      </c>
      <c r="U1781" s="1">
        <v>42</v>
      </c>
      <c r="V1781" s="5">
        <v>44051</v>
      </c>
      <c r="W1781" s="5">
        <v>43858</v>
      </c>
      <c r="X1781" s="1">
        <v>1685000</v>
      </c>
      <c r="Y1781" s="1">
        <v>1685000</v>
      </c>
      <c r="Z1781" s="5">
        <v>43901</v>
      </c>
      <c r="AA1781" s="1">
        <v>1620000</v>
      </c>
      <c r="AB1781" s="1" t="s">
        <v>1340</v>
      </c>
      <c r="AC1781" s="5">
        <v>44048</v>
      </c>
      <c r="AF1781" s="1">
        <v>10065</v>
      </c>
      <c r="AI1781" s="1" t="s">
        <v>76</v>
      </c>
      <c r="AJ1781" s="1">
        <v>1967</v>
      </c>
      <c r="AK1781" s="1" t="s">
        <v>81</v>
      </c>
      <c r="AL1781" s="1">
        <v>113</v>
      </c>
    </row>
    <row r="1782" spans="1:38" x14ac:dyDescent="0.2">
      <c r="A1782" s="2" t="str">
        <f>HYPERLINK("https://www.compass.com/listing/50-west-30th-street-unit-8c-manhattan-ny-10001/29374841870163521/","50 W 30th St, Unit 8C")</f>
        <v>50 W 30th St, Unit 8C</v>
      </c>
      <c r="B1782" s="2" t="str">
        <f t="shared" ref="B1782:B1783" si="300">HYPERLINK("https://www.compass.com/building/the-noma-manhattan-ny/282058879016139621/","The NOMA")</f>
        <v>The NOMA</v>
      </c>
      <c r="C1782" s="1" t="s">
        <v>95</v>
      </c>
      <c r="D1782" s="1" t="s">
        <v>41</v>
      </c>
      <c r="E1782" s="3">
        <v>1496828</v>
      </c>
      <c r="F1782" s="1">
        <v>2204.4587628865902</v>
      </c>
      <c r="G1782" s="1">
        <v>2</v>
      </c>
      <c r="H1782" s="1">
        <v>1</v>
      </c>
      <c r="I1782" s="1">
        <v>1</v>
      </c>
      <c r="J1782" s="1">
        <v>1</v>
      </c>
      <c r="K1782" s="1">
        <v>1</v>
      </c>
      <c r="M1782" s="1">
        <v>679</v>
      </c>
      <c r="N1782" s="1">
        <v>861</v>
      </c>
      <c r="O1782" s="1">
        <v>1969</v>
      </c>
      <c r="P1782" s="1">
        <v>1108</v>
      </c>
      <c r="Q1782" s="1" t="s">
        <v>42</v>
      </c>
      <c r="S1782" s="1" t="s">
        <v>42</v>
      </c>
      <c r="T1782" s="1" t="s">
        <v>203</v>
      </c>
      <c r="V1782" s="5">
        <v>43273</v>
      </c>
      <c r="W1782" s="5">
        <v>42583</v>
      </c>
      <c r="X1782" s="1">
        <v>1495000</v>
      </c>
      <c r="Y1782" s="1">
        <v>1495000</v>
      </c>
      <c r="Z1782" s="5">
        <v>42583</v>
      </c>
      <c r="AA1782" s="1">
        <v>1496827.5</v>
      </c>
      <c r="AB1782" s="1" t="s">
        <v>1341</v>
      </c>
      <c r="AC1782" s="5">
        <v>43266</v>
      </c>
      <c r="AF1782" s="1">
        <v>10001</v>
      </c>
      <c r="AI1782" s="1" t="s">
        <v>45</v>
      </c>
      <c r="AJ1782" s="1">
        <v>2017</v>
      </c>
      <c r="AK1782" s="1" t="s">
        <v>87</v>
      </c>
      <c r="AL1782" s="1">
        <v>55</v>
      </c>
    </row>
    <row r="1783" spans="1:38" x14ac:dyDescent="0.2">
      <c r="A1783" s="2" t="str">
        <f>HYPERLINK("https://www.compass.com/listing/50-west-30th-street-unit-10c-manhattan-ny-10001/29374843900263265/","50 W 30th St, Unit 10C")</f>
        <v>50 W 30th St, Unit 10C</v>
      </c>
      <c r="B1783" s="2" t="str">
        <f t="shared" si="300"/>
        <v>The NOMA</v>
      </c>
      <c r="C1783" s="1" t="s">
        <v>95</v>
      </c>
      <c r="D1783" s="1" t="s">
        <v>41</v>
      </c>
      <c r="E1783" s="3">
        <v>1479563</v>
      </c>
      <c r="F1783" s="1">
        <v>2179.0324005890998</v>
      </c>
      <c r="G1783" s="1">
        <v>2</v>
      </c>
      <c r="H1783" s="1">
        <v>1</v>
      </c>
      <c r="I1783" s="1">
        <v>1</v>
      </c>
      <c r="J1783" s="1">
        <v>1</v>
      </c>
      <c r="K1783" s="1">
        <v>1</v>
      </c>
      <c r="M1783" s="1">
        <v>679</v>
      </c>
      <c r="N1783" s="1">
        <v>861</v>
      </c>
      <c r="O1783" s="1">
        <v>1969</v>
      </c>
      <c r="P1783" s="1">
        <v>1108</v>
      </c>
      <c r="Q1783" s="1" t="s">
        <v>42</v>
      </c>
      <c r="S1783" s="1" t="s">
        <v>42</v>
      </c>
      <c r="T1783" s="1" t="s">
        <v>203</v>
      </c>
      <c r="V1783" s="5">
        <v>43648</v>
      </c>
      <c r="W1783" s="5">
        <v>42564</v>
      </c>
      <c r="X1783" s="1">
        <v>1545000</v>
      </c>
      <c r="Y1783" s="1">
        <v>1545000</v>
      </c>
      <c r="Z1783" s="5">
        <v>42564</v>
      </c>
      <c r="AA1783" s="1">
        <v>1479563</v>
      </c>
      <c r="AB1783" s="1" t="s">
        <v>1342</v>
      </c>
      <c r="AC1783" s="5">
        <v>43246</v>
      </c>
      <c r="AF1783" s="1">
        <v>10001</v>
      </c>
      <c r="AI1783" s="1" t="s">
        <v>45</v>
      </c>
      <c r="AJ1783" s="1">
        <v>2017</v>
      </c>
      <c r="AK1783" s="1" t="s">
        <v>87</v>
      </c>
      <c r="AL1783" s="1">
        <v>55</v>
      </c>
    </row>
    <row r="1784" spans="1:38" x14ac:dyDescent="0.2">
      <c r="A1784" s="2" t="str">
        <f>HYPERLINK("https://www.compass.com/listing/520-west-45th-street-unit-4d-manhattan-ny-10036/29389768827606129/","520 W 45th St, Unit 4D")</f>
        <v>520 W 45th St, Unit 4D</v>
      </c>
      <c r="B1784" s="2" t="str">
        <f t="shared" ref="B1784:B1789" si="301">HYPERLINK("https://www.compass.com/building/inkwell-manhattan-ny/282026081983148485/","Inkwell")</f>
        <v>Inkwell</v>
      </c>
      <c r="C1784" s="1" t="s">
        <v>57</v>
      </c>
      <c r="D1784" s="1" t="s">
        <v>41</v>
      </c>
      <c r="E1784" s="3">
        <v>1850000</v>
      </c>
      <c r="F1784" s="1">
        <v>1527.66308835673</v>
      </c>
      <c r="G1784" s="1">
        <v>3</v>
      </c>
      <c r="H1784" s="1">
        <v>2</v>
      </c>
      <c r="I1784" s="1">
        <v>2</v>
      </c>
      <c r="J1784" s="1">
        <v>2</v>
      </c>
      <c r="M1784" s="4">
        <v>1211</v>
      </c>
      <c r="N1784" s="1">
        <v>1</v>
      </c>
      <c r="O1784" s="1">
        <v>2</v>
      </c>
      <c r="P1784" s="1">
        <v>1</v>
      </c>
      <c r="Q1784" s="1" t="s">
        <v>42</v>
      </c>
      <c r="S1784" s="1" t="s">
        <v>42</v>
      </c>
      <c r="T1784" s="1" t="s">
        <v>203</v>
      </c>
      <c r="U1784" s="1">
        <v>224</v>
      </c>
      <c r="V1784" s="5">
        <v>43649</v>
      </c>
      <c r="W1784" s="5">
        <v>42893</v>
      </c>
      <c r="X1784" s="1">
        <v>1900000</v>
      </c>
      <c r="Y1784" s="1">
        <v>1900000</v>
      </c>
      <c r="Z1784" s="5">
        <v>43117</v>
      </c>
      <c r="AA1784" s="1">
        <v>1850000</v>
      </c>
      <c r="AB1784" s="1" t="s">
        <v>1343</v>
      </c>
      <c r="AC1784" s="5">
        <v>43160</v>
      </c>
      <c r="AF1784" s="1">
        <v>10036</v>
      </c>
      <c r="AI1784" s="1" t="s">
        <v>58</v>
      </c>
      <c r="AJ1784" s="1">
        <v>1905</v>
      </c>
      <c r="AK1784" s="1" t="s">
        <v>137</v>
      </c>
      <c r="AL1784" s="1">
        <v>18</v>
      </c>
    </row>
    <row r="1785" spans="1:38" x14ac:dyDescent="0.2">
      <c r="A1785" s="2" t="str">
        <f>HYPERLINK("https://www.compass.com/listing/520-west-45th-street-unit-5b-manhattan-ny-10036/29389769641420929/","520 W 45th St, Unit 5B")</f>
        <v>520 W 45th St, Unit 5B</v>
      </c>
      <c r="B1785" s="2" t="str">
        <f t="shared" si="301"/>
        <v>Inkwell</v>
      </c>
      <c r="C1785" s="1" t="s">
        <v>57</v>
      </c>
      <c r="D1785" s="1" t="s">
        <v>41</v>
      </c>
      <c r="E1785" s="3">
        <v>2371444</v>
      </c>
      <c r="F1785" s="1">
        <v>1815.8070444104101</v>
      </c>
      <c r="G1785" s="1">
        <v>3</v>
      </c>
      <c r="H1785" s="1">
        <v>2</v>
      </c>
      <c r="I1785" s="1">
        <v>2</v>
      </c>
      <c r="J1785" s="1">
        <v>2</v>
      </c>
      <c r="M1785" s="4">
        <v>1306</v>
      </c>
      <c r="N1785" s="1">
        <v>1</v>
      </c>
      <c r="O1785" s="1">
        <v>2</v>
      </c>
      <c r="P1785" s="1">
        <v>1</v>
      </c>
      <c r="Q1785" s="1" t="s">
        <v>42</v>
      </c>
      <c r="S1785" s="1" t="s">
        <v>42</v>
      </c>
      <c r="T1785" s="1" t="s">
        <v>203</v>
      </c>
      <c r="U1785" s="1">
        <v>50</v>
      </c>
      <c r="V1785" s="5">
        <v>43650</v>
      </c>
      <c r="W1785" s="5">
        <v>42893</v>
      </c>
      <c r="X1785" s="1">
        <v>2400000</v>
      </c>
      <c r="Y1785" s="1">
        <v>2400000</v>
      </c>
      <c r="Z1785" s="5">
        <v>42943</v>
      </c>
      <c r="AA1785" s="1">
        <v>2371444</v>
      </c>
      <c r="AB1785" s="1" t="s">
        <v>1344</v>
      </c>
      <c r="AC1785" s="5">
        <v>42979</v>
      </c>
      <c r="AF1785" s="1">
        <v>10036</v>
      </c>
      <c r="AI1785" s="1" t="s">
        <v>58</v>
      </c>
      <c r="AJ1785" s="1">
        <v>1905</v>
      </c>
      <c r="AK1785" s="1" t="s">
        <v>137</v>
      </c>
      <c r="AL1785" s="1">
        <v>18</v>
      </c>
    </row>
    <row r="1786" spans="1:38" x14ac:dyDescent="0.2">
      <c r="A1786" s="2" t="str">
        <f>HYPERLINK("https://www.compass.com/listing/520-west-45th-street-unit-5c-manhattan-ny-10036/29389769976845441/","520 W 45th St, Unit 5C")</f>
        <v>520 W 45th St, Unit 5C</v>
      </c>
      <c r="B1786" s="2" t="str">
        <f t="shared" si="301"/>
        <v>Inkwell</v>
      </c>
      <c r="C1786" s="1" t="s">
        <v>57</v>
      </c>
      <c r="D1786" s="1" t="s">
        <v>41</v>
      </c>
      <c r="E1786" s="3">
        <v>2163781</v>
      </c>
      <c r="F1786" s="1">
        <v>1653.0030557677601</v>
      </c>
      <c r="G1786" s="1">
        <v>3</v>
      </c>
      <c r="H1786" s="1">
        <v>2</v>
      </c>
      <c r="I1786" s="1">
        <v>2</v>
      </c>
      <c r="J1786" s="1">
        <v>2</v>
      </c>
      <c r="M1786" s="4">
        <v>1309</v>
      </c>
      <c r="N1786" s="1">
        <v>1</v>
      </c>
      <c r="O1786" s="1">
        <v>2</v>
      </c>
      <c r="P1786" s="1">
        <v>1</v>
      </c>
      <c r="Q1786" s="1" t="s">
        <v>42</v>
      </c>
      <c r="S1786" s="1" t="s">
        <v>42</v>
      </c>
      <c r="T1786" s="1" t="s">
        <v>203</v>
      </c>
      <c r="U1786" s="1">
        <v>69</v>
      </c>
      <c r="V1786" s="5">
        <v>43649</v>
      </c>
      <c r="W1786" s="5">
        <v>42952</v>
      </c>
      <c r="X1786" s="1">
        <v>2150000</v>
      </c>
      <c r="Y1786" s="1">
        <v>2150000</v>
      </c>
      <c r="Z1786" s="5">
        <v>43021</v>
      </c>
      <c r="AA1786" s="1">
        <v>2163781</v>
      </c>
      <c r="AB1786" s="1" t="s">
        <v>1345</v>
      </c>
      <c r="AC1786" s="5">
        <v>43053</v>
      </c>
      <c r="AF1786" s="1">
        <v>10036</v>
      </c>
      <c r="AI1786" s="1" t="s">
        <v>58</v>
      </c>
      <c r="AJ1786" s="1">
        <v>1905</v>
      </c>
      <c r="AK1786" s="1" t="s">
        <v>137</v>
      </c>
      <c r="AL1786" s="1">
        <v>18</v>
      </c>
    </row>
    <row r="1787" spans="1:38" x14ac:dyDescent="0.2">
      <c r="A1787" s="2" t="str">
        <f>HYPERLINK("https://www.compass.com/listing/520-west-45th-street-unit-5d-manhattan-ny-10036/29389770413117009/","520 W 45th St, Unit 5D")</f>
        <v>520 W 45th St, Unit 5D</v>
      </c>
      <c r="B1787" s="2" t="str">
        <f t="shared" si="301"/>
        <v>Inkwell</v>
      </c>
      <c r="C1787" s="1" t="s">
        <v>57</v>
      </c>
      <c r="D1787" s="1" t="s">
        <v>41</v>
      </c>
      <c r="E1787" s="3">
        <v>2050000</v>
      </c>
      <c r="F1787" s="1">
        <v>1692.81585466556</v>
      </c>
      <c r="G1787" s="1">
        <v>3</v>
      </c>
      <c r="H1787" s="1">
        <v>2</v>
      </c>
      <c r="I1787" s="1">
        <v>2</v>
      </c>
      <c r="J1787" s="1">
        <v>2</v>
      </c>
      <c r="M1787" s="4">
        <v>1211</v>
      </c>
      <c r="N1787" s="1">
        <v>1</v>
      </c>
      <c r="O1787" s="1">
        <v>2</v>
      </c>
      <c r="P1787" s="1">
        <v>1</v>
      </c>
      <c r="Q1787" s="1" t="s">
        <v>42</v>
      </c>
      <c r="S1787" s="1" t="s">
        <v>42</v>
      </c>
      <c r="T1787" s="1" t="s">
        <v>203</v>
      </c>
      <c r="U1787" s="1">
        <v>34</v>
      </c>
      <c r="V1787" s="5">
        <v>43649</v>
      </c>
      <c r="W1787" s="5">
        <v>43013</v>
      </c>
      <c r="X1787" s="1">
        <v>2100000</v>
      </c>
      <c r="Y1787" s="1">
        <v>2100000</v>
      </c>
      <c r="Z1787" s="5">
        <v>43047</v>
      </c>
      <c r="AA1787" s="1">
        <v>2050000</v>
      </c>
      <c r="AB1787" s="1" t="s">
        <v>1346</v>
      </c>
      <c r="AC1787" s="5">
        <v>43077</v>
      </c>
      <c r="AF1787" s="1">
        <v>10036</v>
      </c>
      <c r="AI1787" s="1" t="s">
        <v>149</v>
      </c>
      <c r="AJ1787" s="1">
        <v>1905</v>
      </c>
      <c r="AK1787" s="1" t="s">
        <v>137</v>
      </c>
      <c r="AL1787" s="1">
        <v>18</v>
      </c>
    </row>
    <row r="1788" spans="1:38" x14ac:dyDescent="0.2">
      <c r="A1788" s="2" t="str">
        <f>HYPERLINK("https://www.compass.com/listing/520-west-45th-street-unit-3c-manhattan-ny-10036/803330259918849553/","520 W 45th St, Unit 3C")</f>
        <v>520 W 45th St, Unit 3C</v>
      </c>
      <c r="B1788" s="2" t="str">
        <f t="shared" si="301"/>
        <v>Inkwell</v>
      </c>
      <c r="C1788" s="1" t="s">
        <v>57</v>
      </c>
      <c r="D1788" s="1" t="s">
        <v>41</v>
      </c>
      <c r="E1788" s="3">
        <v>1845000</v>
      </c>
      <c r="F1788" s="1">
        <v>1409.4728800611099</v>
      </c>
      <c r="G1788" s="1">
        <v>4</v>
      </c>
      <c r="H1788" s="1">
        <v>2</v>
      </c>
      <c r="I1788" s="1">
        <v>2</v>
      </c>
      <c r="J1788" s="1">
        <v>2</v>
      </c>
      <c r="M1788" s="4">
        <v>1309</v>
      </c>
      <c r="N1788" s="1">
        <v>1</v>
      </c>
      <c r="O1788" s="1">
        <v>2</v>
      </c>
      <c r="P1788" s="1">
        <v>1</v>
      </c>
      <c r="Q1788" s="1" t="s">
        <v>42</v>
      </c>
      <c r="S1788" s="1" t="s">
        <v>42</v>
      </c>
      <c r="T1788" s="1" t="s">
        <v>203</v>
      </c>
      <c r="U1788" s="1">
        <v>313</v>
      </c>
      <c r="V1788" s="5">
        <v>43028</v>
      </c>
      <c r="W1788" s="5">
        <v>42662</v>
      </c>
      <c r="X1788" s="1">
        <v>1875000</v>
      </c>
      <c r="Y1788" s="1">
        <v>1875000</v>
      </c>
      <c r="Z1788" s="5">
        <v>42976</v>
      </c>
      <c r="AA1788" s="1">
        <v>1845000</v>
      </c>
      <c r="AB1788" s="1" t="s">
        <v>1347</v>
      </c>
      <c r="AC1788" s="5">
        <v>42985</v>
      </c>
      <c r="AF1788" s="1">
        <v>10036</v>
      </c>
      <c r="AI1788" s="1" t="s">
        <v>58</v>
      </c>
      <c r="AJ1788" s="1">
        <v>1905</v>
      </c>
      <c r="AK1788" s="1" t="s">
        <v>59</v>
      </c>
      <c r="AL1788" s="1">
        <v>18</v>
      </c>
    </row>
    <row r="1789" spans="1:38" x14ac:dyDescent="0.2">
      <c r="A1789" s="2" t="str">
        <f>HYPERLINK("https://www.compass.com/listing/520-west-45th-street-unit-3d-manhattan-ny-10036/803376819260303161/","520 W 45th St, Unit 3D")</f>
        <v>520 W 45th St, Unit 3D</v>
      </c>
      <c r="B1789" s="2" t="str">
        <f t="shared" si="301"/>
        <v>Inkwell</v>
      </c>
      <c r="C1789" s="1" t="s">
        <v>57</v>
      </c>
      <c r="D1789" s="1" t="s">
        <v>41</v>
      </c>
      <c r="E1789" s="3">
        <v>1780000</v>
      </c>
      <c r="F1789" s="1">
        <v>1469.85962014863</v>
      </c>
      <c r="G1789" s="1">
        <v>4</v>
      </c>
      <c r="H1789" s="1">
        <v>2</v>
      </c>
      <c r="I1789" s="1">
        <v>2</v>
      </c>
      <c r="J1789" s="1">
        <v>2</v>
      </c>
      <c r="M1789" s="4">
        <v>1211</v>
      </c>
      <c r="N1789" s="1">
        <v>1</v>
      </c>
      <c r="O1789" s="1">
        <v>2</v>
      </c>
      <c r="P1789" s="1">
        <v>1</v>
      </c>
      <c r="Q1789" s="1" t="s">
        <v>42</v>
      </c>
      <c r="S1789" s="1" t="s">
        <v>42</v>
      </c>
      <c r="T1789" s="1" t="s">
        <v>203</v>
      </c>
      <c r="U1789" s="1">
        <v>209</v>
      </c>
      <c r="V1789" s="5">
        <v>43028</v>
      </c>
      <c r="W1789" s="5">
        <v>42662</v>
      </c>
      <c r="X1789" s="1">
        <v>1780000</v>
      </c>
      <c r="Y1789" s="1">
        <v>1780000</v>
      </c>
      <c r="Z1789" s="5">
        <v>42872</v>
      </c>
      <c r="AA1789" s="1">
        <v>1780000</v>
      </c>
      <c r="AB1789" s="1" t="s">
        <v>1348</v>
      </c>
      <c r="AC1789" s="5">
        <v>42957</v>
      </c>
      <c r="AF1789" s="1">
        <v>10036</v>
      </c>
      <c r="AI1789" s="1" t="s">
        <v>58</v>
      </c>
      <c r="AJ1789" s="1">
        <v>1905</v>
      </c>
      <c r="AK1789" s="1" t="s">
        <v>59</v>
      </c>
      <c r="AL1789" s="1">
        <v>18</v>
      </c>
    </row>
    <row r="1790" spans="1:38" x14ac:dyDescent="0.2">
      <c r="A1790" s="2" t="str">
        <f>HYPERLINK("https://www.compass.com/listing/200-east-62nd-street-unit-16b-manhattan-ny-10065/4852282291696710289/","200 E 62nd St, Unit 16B")</f>
        <v>200 E 62nd St, Unit 16B</v>
      </c>
      <c r="B1790" s="2" t="str">
        <f t="shared" ref="B1790:B1791" si="302">HYPERLINK("https://www.compass.com/building/200-e-62-manhattan-ny/282037506914928197/","200 E 62")</f>
        <v>200 E 62</v>
      </c>
      <c r="C1790" s="1" t="s">
        <v>53</v>
      </c>
      <c r="D1790" s="1" t="s">
        <v>41</v>
      </c>
      <c r="E1790" s="3">
        <v>2850000</v>
      </c>
      <c r="F1790" s="1">
        <v>1681.4159292035399</v>
      </c>
      <c r="G1790" s="1">
        <v>5</v>
      </c>
      <c r="H1790" s="1">
        <v>2</v>
      </c>
      <c r="I1790" s="1">
        <v>3</v>
      </c>
      <c r="J1790" s="1">
        <v>2.5</v>
      </c>
      <c r="K1790" s="1">
        <v>2</v>
      </c>
      <c r="L1790" s="1">
        <v>1</v>
      </c>
      <c r="M1790" s="4">
        <v>1695</v>
      </c>
      <c r="N1790" s="1">
        <v>1816</v>
      </c>
      <c r="O1790" s="1">
        <v>3798</v>
      </c>
      <c r="P1790" s="1">
        <v>1982</v>
      </c>
      <c r="Q1790" s="1" t="s">
        <v>42</v>
      </c>
      <c r="S1790" s="1" t="s">
        <v>42</v>
      </c>
      <c r="T1790" s="1" t="s">
        <v>203</v>
      </c>
      <c r="U1790" s="1">
        <v>42</v>
      </c>
      <c r="V1790" s="5">
        <v>43635</v>
      </c>
      <c r="W1790" s="5">
        <v>42893</v>
      </c>
      <c r="X1790" s="1">
        <v>3050000</v>
      </c>
      <c r="Y1790" s="1">
        <v>3050000</v>
      </c>
      <c r="Z1790" s="5">
        <v>42935</v>
      </c>
      <c r="AA1790" s="1">
        <v>2850000</v>
      </c>
      <c r="AB1790" s="1" t="s">
        <v>1349</v>
      </c>
      <c r="AC1790" s="5">
        <v>42986</v>
      </c>
      <c r="AF1790" s="1">
        <v>10065</v>
      </c>
      <c r="AI1790" s="1" t="s">
        <v>156</v>
      </c>
      <c r="AJ1790" s="1">
        <v>1967</v>
      </c>
      <c r="AK1790" s="1" t="s">
        <v>81</v>
      </c>
      <c r="AL1790" s="1">
        <v>113</v>
      </c>
    </row>
    <row r="1791" spans="1:38" x14ac:dyDescent="0.2">
      <c r="A1791" s="2" t="str">
        <f>HYPERLINK("https://www.compass.com/listing/200-east-62nd-street-unit-6e-manhattan-ny-10065/29413943529185281/","200 E 62nd St, Unit 6E")</f>
        <v>200 E 62nd St, Unit 6E</v>
      </c>
      <c r="B1791" s="2" t="str">
        <f t="shared" si="302"/>
        <v>200 E 62</v>
      </c>
      <c r="C1791" s="1" t="s">
        <v>53</v>
      </c>
      <c r="D1791" s="1" t="s">
        <v>41</v>
      </c>
      <c r="E1791" s="3">
        <v>2047000</v>
      </c>
      <c r="F1791" s="1">
        <v>1824.42067736185</v>
      </c>
      <c r="G1791" s="1">
        <v>3</v>
      </c>
      <c r="H1791" s="1">
        <v>1</v>
      </c>
      <c r="I1791" s="1">
        <v>2</v>
      </c>
      <c r="J1791" s="1">
        <v>2</v>
      </c>
      <c r="K1791" s="1">
        <v>2</v>
      </c>
      <c r="M1791" s="4">
        <v>1122</v>
      </c>
      <c r="N1791" s="1">
        <v>1177</v>
      </c>
      <c r="O1791" s="1">
        <v>2461</v>
      </c>
      <c r="P1791" s="1">
        <v>1284</v>
      </c>
      <c r="Q1791" s="1" t="s">
        <v>42</v>
      </c>
      <c r="S1791" s="1" t="s">
        <v>42</v>
      </c>
      <c r="T1791" s="1" t="s">
        <v>203</v>
      </c>
      <c r="V1791" s="5">
        <v>43635</v>
      </c>
      <c r="W1791" s="5">
        <v>42837</v>
      </c>
      <c r="X1791" s="1">
        <v>2180000</v>
      </c>
      <c r="Y1791" s="1">
        <v>2180000</v>
      </c>
      <c r="Z1791" s="5">
        <v>42837</v>
      </c>
      <c r="AA1791" s="1">
        <v>2047000</v>
      </c>
      <c r="AB1791" s="1" t="s">
        <v>1350</v>
      </c>
      <c r="AC1791" s="5">
        <v>42933</v>
      </c>
      <c r="AF1791" s="1">
        <v>10065</v>
      </c>
      <c r="AI1791" s="1" t="s">
        <v>156</v>
      </c>
      <c r="AJ1791" s="1">
        <v>1967</v>
      </c>
      <c r="AK1791" s="1" t="s">
        <v>81</v>
      </c>
      <c r="AL1791" s="1">
        <v>113</v>
      </c>
    </row>
    <row r="1792" spans="1:38" x14ac:dyDescent="0.2">
      <c r="A1792" s="2" t="str">
        <f>HYPERLINK("https://www.compass.com/listing/50-west-30th-street-unit-3c-manhattan-ny-10001/29374837583641345/","50 W 30th St, Unit 3C")</f>
        <v>50 W 30th St, Unit 3C</v>
      </c>
      <c r="B1792" s="2" t="str">
        <f t="shared" ref="B1792:B1796" si="303">HYPERLINK("https://www.compass.com/building/the-noma-manhattan-ny/282058879016139621/","The NOMA")</f>
        <v>The NOMA</v>
      </c>
      <c r="C1792" s="1" t="s">
        <v>95</v>
      </c>
      <c r="D1792" s="1" t="s">
        <v>41</v>
      </c>
      <c r="E1792" s="3">
        <v>1463939</v>
      </c>
      <c r="F1792" s="1">
        <v>1800.6629766297599</v>
      </c>
      <c r="G1792" s="1">
        <v>3</v>
      </c>
      <c r="H1792" s="1">
        <v>1</v>
      </c>
      <c r="I1792" s="1">
        <v>1</v>
      </c>
      <c r="J1792" s="1">
        <v>1</v>
      </c>
      <c r="K1792" s="1">
        <v>1</v>
      </c>
      <c r="M1792" s="1">
        <v>813</v>
      </c>
      <c r="N1792" s="1">
        <v>997</v>
      </c>
      <c r="O1792" s="1">
        <v>2280</v>
      </c>
      <c r="P1792" s="1">
        <v>1283</v>
      </c>
      <c r="Q1792" s="1" t="s">
        <v>42</v>
      </c>
      <c r="S1792" s="1" t="s">
        <v>42</v>
      </c>
      <c r="T1792" s="1" t="s">
        <v>203</v>
      </c>
      <c r="V1792" s="5">
        <v>43640</v>
      </c>
      <c r="W1792" s="5">
        <v>42584</v>
      </c>
      <c r="X1792" s="1">
        <v>1450000</v>
      </c>
      <c r="Y1792" s="1">
        <v>1450000</v>
      </c>
      <c r="Z1792" s="5">
        <v>42584</v>
      </c>
      <c r="AA1792" s="1">
        <v>1463939</v>
      </c>
      <c r="AB1792" s="1" t="s">
        <v>1351</v>
      </c>
      <c r="AC1792" s="5">
        <v>43251</v>
      </c>
      <c r="AF1792" s="1">
        <v>10001</v>
      </c>
      <c r="AI1792" s="1" t="s">
        <v>45</v>
      </c>
      <c r="AJ1792" s="1">
        <v>2017</v>
      </c>
      <c r="AK1792" s="1" t="s">
        <v>87</v>
      </c>
      <c r="AL1792" s="1">
        <v>55</v>
      </c>
    </row>
    <row r="1793" spans="1:38" x14ac:dyDescent="0.2">
      <c r="A1793" s="2" t="str">
        <f>HYPERLINK("https://www.compass.com/listing/50-west-30th-street-unit-9b-manhattan-ny-10001/29374842281260561/","50 W 30th St, Unit 9B")</f>
        <v>50 W 30th St, Unit 9B</v>
      </c>
      <c r="B1793" s="2" t="str">
        <f t="shared" si="303"/>
        <v>The NOMA</v>
      </c>
      <c r="C1793" s="1" t="s">
        <v>95</v>
      </c>
      <c r="D1793" s="1" t="s">
        <v>41</v>
      </c>
      <c r="E1793" s="3">
        <v>1476463</v>
      </c>
      <c r="F1793" s="1">
        <v>2121.3548850574698</v>
      </c>
      <c r="G1793" s="1">
        <v>2</v>
      </c>
      <c r="H1793" s="1">
        <v>1</v>
      </c>
      <c r="I1793" s="1">
        <v>1</v>
      </c>
      <c r="J1793" s="1">
        <v>1</v>
      </c>
      <c r="K1793" s="1">
        <v>1</v>
      </c>
      <c r="M1793" s="1">
        <v>696</v>
      </c>
      <c r="N1793" s="1">
        <v>854</v>
      </c>
      <c r="O1793" s="1">
        <v>1953</v>
      </c>
      <c r="P1793" s="1">
        <v>1099</v>
      </c>
      <c r="Q1793" s="1" t="s">
        <v>42</v>
      </c>
      <c r="S1793" s="1" t="s">
        <v>42</v>
      </c>
      <c r="T1793" s="1" t="s">
        <v>203</v>
      </c>
      <c r="V1793" s="5">
        <v>43694</v>
      </c>
      <c r="W1793" s="5">
        <v>42584</v>
      </c>
      <c r="X1793" s="1">
        <v>1475000</v>
      </c>
      <c r="Y1793" s="1">
        <v>1475000</v>
      </c>
      <c r="Z1793" s="5">
        <v>42584</v>
      </c>
      <c r="AA1793" s="1">
        <v>1476463</v>
      </c>
      <c r="AB1793" s="1" t="s">
        <v>1352</v>
      </c>
      <c r="AC1793" s="5">
        <v>43230</v>
      </c>
      <c r="AF1793" s="1">
        <v>10001</v>
      </c>
      <c r="AI1793" s="1" t="s">
        <v>45</v>
      </c>
      <c r="AJ1793" s="1">
        <v>2017</v>
      </c>
      <c r="AK1793" s="1" t="s">
        <v>87</v>
      </c>
      <c r="AL1793" s="1">
        <v>55</v>
      </c>
    </row>
    <row r="1794" spans="1:38" x14ac:dyDescent="0.2">
      <c r="A1794" s="2" t="str">
        <f>HYPERLINK("https://www.compass.com/listing/50-west-30th-street-unit-10b-manhattan-ny-10001/29374843497608737/","50 W 30th St, Unit 10B")</f>
        <v>50 W 30th St, Unit 10B</v>
      </c>
      <c r="B1794" s="2" t="str">
        <f t="shared" si="303"/>
        <v>The NOMA</v>
      </c>
      <c r="C1794" s="1" t="s">
        <v>95</v>
      </c>
      <c r="D1794" s="1" t="s">
        <v>41</v>
      </c>
      <c r="E1794" s="3">
        <v>1519619</v>
      </c>
      <c r="F1794" s="1">
        <v>2183.3606321839002</v>
      </c>
      <c r="G1794" s="1">
        <v>2</v>
      </c>
      <c r="H1794" s="1">
        <v>1</v>
      </c>
      <c r="I1794" s="1">
        <v>1</v>
      </c>
      <c r="J1794" s="1">
        <v>1</v>
      </c>
      <c r="K1794" s="1">
        <v>1</v>
      </c>
      <c r="M1794" s="1">
        <v>696</v>
      </c>
      <c r="N1794" s="1">
        <v>854</v>
      </c>
      <c r="O1794" s="1">
        <v>1953</v>
      </c>
      <c r="P1794" s="1">
        <v>1099</v>
      </c>
      <c r="Q1794" s="1" t="s">
        <v>42</v>
      </c>
      <c r="S1794" s="1" t="s">
        <v>42</v>
      </c>
      <c r="T1794" s="1" t="s">
        <v>203</v>
      </c>
      <c r="V1794" s="5">
        <v>43640</v>
      </c>
      <c r="W1794" s="5">
        <v>42564</v>
      </c>
      <c r="X1794" s="1">
        <v>1500000</v>
      </c>
      <c r="Y1794" s="1">
        <v>1500000</v>
      </c>
      <c r="Z1794" s="5">
        <v>42564</v>
      </c>
      <c r="AA1794" s="1">
        <v>1519619</v>
      </c>
      <c r="AB1794" s="1" t="s">
        <v>1353</v>
      </c>
      <c r="AC1794" s="5">
        <v>43225</v>
      </c>
      <c r="AF1794" s="1">
        <v>10001</v>
      </c>
      <c r="AI1794" s="1" t="s">
        <v>45</v>
      </c>
      <c r="AJ1794" s="1">
        <v>2017</v>
      </c>
      <c r="AK1794" s="1" t="s">
        <v>87</v>
      </c>
      <c r="AL1794" s="1">
        <v>55</v>
      </c>
    </row>
    <row r="1795" spans="1:38" x14ac:dyDescent="0.2">
      <c r="A1795" s="2" t="str">
        <f>HYPERLINK("https://www.compass.com/listing/50-west-30th-street-unit-11b-manhattan-ny-10001/29374844353191521/","50 W 30th St, Unit 11B")</f>
        <v>50 W 30th St, Unit 11B</v>
      </c>
      <c r="B1795" s="2" t="str">
        <f t="shared" si="303"/>
        <v>The NOMA</v>
      </c>
      <c r="C1795" s="1" t="s">
        <v>95</v>
      </c>
      <c r="D1795" s="1" t="s">
        <v>41</v>
      </c>
      <c r="E1795" s="3">
        <v>1545375</v>
      </c>
      <c r="F1795" s="1">
        <v>2220.3663793103401</v>
      </c>
      <c r="G1795" s="1">
        <v>2</v>
      </c>
      <c r="H1795" s="1">
        <v>1</v>
      </c>
      <c r="I1795" s="1">
        <v>1</v>
      </c>
      <c r="J1795" s="1">
        <v>1</v>
      </c>
      <c r="K1795" s="1">
        <v>1</v>
      </c>
      <c r="M1795" s="1">
        <v>696</v>
      </c>
      <c r="N1795" s="1">
        <v>854</v>
      </c>
      <c r="O1795" s="1">
        <v>1953</v>
      </c>
      <c r="P1795" s="1">
        <v>1099</v>
      </c>
      <c r="Q1795" s="1" t="s">
        <v>42</v>
      </c>
      <c r="S1795" s="1" t="s">
        <v>42</v>
      </c>
      <c r="T1795" s="1" t="s">
        <v>203</v>
      </c>
      <c r="V1795" s="5">
        <v>43648</v>
      </c>
      <c r="W1795" s="5">
        <v>42564</v>
      </c>
      <c r="X1795" s="1">
        <v>1525000</v>
      </c>
      <c r="Y1795" s="1">
        <v>1525000</v>
      </c>
      <c r="Z1795" s="5">
        <v>42564</v>
      </c>
      <c r="AA1795" s="1">
        <v>1545375</v>
      </c>
      <c r="AB1795" s="1" t="s">
        <v>1354</v>
      </c>
      <c r="AC1795" s="5">
        <v>43224</v>
      </c>
      <c r="AF1795" s="1">
        <v>10001</v>
      </c>
      <c r="AI1795" s="1" t="s">
        <v>45</v>
      </c>
      <c r="AJ1795" s="1">
        <v>2017</v>
      </c>
      <c r="AK1795" s="1" t="s">
        <v>87</v>
      </c>
      <c r="AL1795" s="1">
        <v>55</v>
      </c>
    </row>
    <row r="1796" spans="1:38" x14ac:dyDescent="0.2">
      <c r="A1796" s="2" t="str">
        <f>HYPERLINK("https://www.compass.com/listing/50-west-30th-street-unit-9c-manhattan-ny-10001/29514437643767761/","50 W 30th St, Unit 9C")</f>
        <v>50 W 30th St, Unit 9C</v>
      </c>
      <c r="B1796" s="2" t="str">
        <f t="shared" si="303"/>
        <v>The NOMA</v>
      </c>
      <c r="C1796" s="1" t="s">
        <v>95</v>
      </c>
      <c r="D1796" s="1" t="s">
        <v>41</v>
      </c>
      <c r="E1796" s="3">
        <v>1522284</v>
      </c>
      <c r="F1796" s="1">
        <v>2241.9499263622902</v>
      </c>
      <c r="G1796" s="1">
        <v>2</v>
      </c>
      <c r="H1796" s="1">
        <v>1</v>
      </c>
      <c r="I1796" s="1">
        <v>1</v>
      </c>
      <c r="J1796" s="1">
        <v>1</v>
      </c>
      <c r="K1796" s="1">
        <v>1</v>
      </c>
      <c r="M1796" s="1">
        <v>679</v>
      </c>
      <c r="N1796" s="1">
        <v>861</v>
      </c>
      <c r="O1796" s="1">
        <v>1969</v>
      </c>
      <c r="P1796" s="1">
        <v>1108</v>
      </c>
      <c r="Q1796" s="1" t="s">
        <v>42</v>
      </c>
      <c r="S1796" s="1" t="s">
        <v>42</v>
      </c>
      <c r="T1796" s="1" t="s">
        <v>203</v>
      </c>
      <c r="V1796" s="5">
        <v>43654</v>
      </c>
      <c r="W1796" s="5">
        <v>42584</v>
      </c>
      <c r="X1796" s="1">
        <v>1520000</v>
      </c>
      <c r="Y1796" s="1">
        <v>1520000</v>
      </c>
      <c r="Z1796" s="5">
        <v>42584</v>
      </c>
      <c r="AA1796" s="1">
        <v>1522284</v>
      </c>
      <c r="AB1796" s="1" t="s">
        <v>1355</v>
      </c>
      <c r="AC1796" s="5">
        <v>43232</v>
      </c>
      <c r="AF1796" s="1">
        <v>10001</v>
      </c>
      <c r="AI1796" s="1" t="s">
        <v>761</v>
      </c>
      <c r="AJ1796" s="1">
        <v>2017</v>
      </c>
      <c r="AK1796" s="1" t="s">
        <v>87</v>
      </c>
      <c r="AL1796" s="1">
        <v>55</v>
      </c>
    </row>
    <row r="1797" spans="1:38" x14ac:dyDescent="0.2">
      <c r="A1797" s="2" t="str">
        <f>HYPERLINK("https://www.compass.com/listing/200-east-62nd-street-unit-15b-manhattan-ny-10065/228814073180015025/","200 E 62nd St, Unit 15B")</f>
        <v>200 E 62nd St, Unit 15B</v>
      </c>
      <c r="B1797" s="2" t="str">
        <f t="shared" ref="B1797:B1799" si="304">HYPERLINK("https://www.compass.com/building/200-e-62-manhattan-ny/282037506914928197/","200 E 62")</f>
        <v>200 E 62</v>
      </c>
      <c r="C1797" s="1" t="s">
        <v>53</v>
      </c>
      <c r="D1797" s="1" t="s">
        <v>41</v>
      </c>
      <c r="E1797" s="3">
        <v>2825000</v>
      </c>
      <c r="F1797" s="1">
        <v>1666.6666666666599</v>
      </c>
      <c r="G1797" s="1">
        <v>6.5</v>
      </c>
      <c r="H1797" s="1">
        <v>2</v>
      </c>
      <c r="I1797" s="1">
        <v>3</v>
      </c>
      <c r="J1797" s="1">
        <v>2.5</v>
      </c>
      <c r="K1797" s="1">
        <v>2</v>
      </c>
      <c r="L1797" s="1">
        <v>1</v>
      </c>
      <c r="M1797" s="4">
        <v>1695</v>
      </c>
      <c r="N1797" s="1">
        <v>1802</v>
      </c>
      <c r="O1797" s="1">
        <v>3972</v>
      </c>
      <c r="P1797" s="1">
        <v>2170</v>
      </c>
      <c r="Q1797" s="1" t="s">
        <v>42</v>
      </c>
      <c r="S1797" s="1" t="s">
        <v>42</v>
      </c>
      <c r="T1797" s="1" t="s">
        <v>203</v>
      </c>
      <c r="U1797" s="1">
        <v>18</v>
      </c>
      <c r="V1797" s="5">
        <v>43694</v>
      </c>
      <c r="W1797" s="5">
        <v>43568</v>
      </c>
      <c r="X1797" s="1">
        <v>2950000</v>
      </c>
      <c r="Y1797" s="1">
        <v>2950000</v>
      </c>
      <c r="Z1797" s="5">
        <v>43586</v>
      </c>
      <c r="AA1797" s="1">
        <v>2825000</v>
      </c>
      <c r="AB1797" s="1" t="s">
        <v>1356</v>
      </c>
      <c r="AC1797" s="5">
        <v>43614</v>
      </c>
      <c r="AF1797" s="1">
        <v>10065</v>
      </c>
      <c r="AI1797" s="1" t="s">
        <v>1338</v>
      </c>
      <c r="AJ1797" s="1">
        <v>1967</v>
      </c>
      <c r="AK1797" s="1" t="s">
        <v>50</v>
      </c>
      <c r="AL1797" s="1">
        <v>113</v>
      </c>
    </row>
    <row r="1798" spans="1:38" x14ac:dyDescent="0.2">
      <c r="A1798" s="2" t="str">
        <f>HYPERLINK("https://www.compass.com/listing/200-east-62nd-street-unit-15c-manhattan-ny-10065/29413952815377297/","200 E 62nd St, Unit 15C")</f>
        <v>200 E 62nd St, Unit 15C</v>
      </c>
      <c r="B1798" s="2" t="str">
        <f t="shared" si="304"/>
        <v>200 E 62</v>
      </c>
      <c r="C1798" s="1" t="s">
        <v>53</v>
      </c>
      <c r="D1798" s="1" t="s">
        <v>41</v>
      </c>
      <c r="E1798" s="3">
        <v>6721805</v>
      </c>
      <c r="F1798" s="1">
        <v>5870.5720524017397</v>
      </c>
      <c r="G1798" s="1">
        <v>3.5</v>
      </c>
      <c r="H1798" s="1">
        <v>1</v>
      </c>
      <c r="I1798" s="1">
        <v>1</v>
      </c>
      <c r="J1798" s="1">
        <v>1</v>
      </c>
      <c r="K1798" s="1">
        <v>1</v>
      </c>
      <c r="M1798" s="4">
        <v>1145</v>
      </c>
      <c r="N1798" s="1">
        <v>1290</v>
      </c>
      <c r="O1798" s="1">
        <v>2698</v>
      </c>
      <c r="P1798" s="1">
        <v>1408</v>
      </c>
      <c r="Q1798" s="1" t="s">
        <v>42</v>
      </c>
      <c r="S1798" s="1" t="s">
        <v>42</v>
      </c>
      <c r="T1798" s="1" t="s">
        <v>203</v>
      </c>
      <c r="V1798" s="5">
        <v>43635</v>
      </c>
      <c r="W1798" s="5">
        <v>42549</v>
      </c>
      <c r="X1798" s="1">
        <v>2395000</v>
      </c>
      <c r="Y1798" s="1">
        <v>2395000</v>
      </c>
      <c r="Z1798" s="5">
        <v>42549</v>
      </c>
      <c r="AA1798" s="1">
        <v>6721805</v>
      </c>
      <c r="AB1798" s="1" t="s">
        <v>204</v>
      </c>
      <c r="AC1798" s="5">
        <v>42559</v>
      </c>
      <c r="AF1798" s="1">
        <v>10065</v>
      </c>
      <c r="AI1798" s="1" t="s">
        <v>1357</v>
      </c>
      <c r="AJ1798" s="1">
        <v>1967</v>
      </c>
      <c r="AK1798" s="1" t="s">
        <v>81</v>
      </c>
      <c r="AL1798" s="1">
        <v>113</v>
      </c>
    </row>
    <row r="1799" spans="1:38" x14ac:dyDescent="0.2">
      <c r="A1799" s="2" t="str">
        <f>HYPERLINK("https://www.compass.com/listing/200-east-62nd-street-unit-9c-manhattan-ny-10065/29413945903161377/","200 E 62nd St, Unit 9C")</f>
        <v>200 E 62nd St, Unit 9C</v>
      </c>
      <c r="B1799" s="2" t="str">
        <f t="shared" si="304"/>
        <v>200 E 62</v>
      </c>
      <c r="C1799" s="1" t="s">
        <v>53</v>
      </c>
      <c r="D1799" s="1" t="s">
        <v>41</v>
      </c>
      <c r="E1799" s="3">
        <v>2153250</v>
      </c>
      <c r="F1799" s="1">
        <v>1880.5676855895099</v>
      </c>
      <c r="G1799" s="1">
        <v>3</v>
      </c>
      <c r="H1799" s="1">
        <v>1</v>
      </c>
      <c r="I1799" s="1">
        <v>1</v>
      </c>
      <c r="J1799" s="1">
        <v>1.5</v>
      </c>
      <c r="K1799" s="1">
        <v>1</v>
      </c>
      <c r="L1799" s="1">
        <v>1</v>
      </c>
      <c r="M1799" s="4">
        <v>1145</v>
      </c>
      <c r="N1799" s="1">
        <v>1229</v>
      </c>
      <c r="O1799" s="1">
        <v>2571</v>
      </c>
      <c r="P1799" s="1">
        <v>1342</v>
      </c>
      <c r="Q1799" s="1" t="s">
        <v>42</v>
      </c>
      <c r="S1799" s="1" t="s">
        <v>42</v>
      </c>
      <c r="T1799" s="1" t="s">
        <v>203</v>
      </c>
      <c r="U1799" s="1">
        <v>168</v>
      </c>
      <c r="V1799" s="5">
        <v>43635</v>
      </c>
      <c r="W1799" s="5">
        <v>42348</v>
      </c>
      <c r="X1799" s="1">
        <v>2250000</v>
      </c>
      <c r="Y1799" s="1">
        <v>2175000</v>
      </c>
      <c r="Z1799" s="5">
        <v>42516</v>
      </c>
      <c r="AA1799" s="1">
        <v>2153250</v>
      </c>
      <c r="AB1799" s="1" t="s">
        <v>1358</v>
      </c>
      <c r="AC1799" s="5">
        <v>42565</v>
      </c>
      <c r="AF1799" s="1">
        <v>10065</v>
      </c>
      <c r="AI1799" s="1" t="s">
        <v>156</v>
      </c>
      <c r="AJ1799" s="1">
        <v>1967</v>
      </c>
      <c r="AK1799" s="1" t="s">
        <v>81</v>
      </c>
      <c r="AL1799" s="1">
        <v>113</v>
      </c>
    </row>
    <row r="1800" spans="1:38" x14ac:dyDescent="0.2">
      <c r="A1800" s="2" t="str">
        <f>HYPERLINK("https://www.compass.com/listing/40-east-end-avenue-unit-7-8b-manhattan-ny-10028/162983091604846145/","40 E End Ave, Unit 7/8B")</f>
        <v>40 E End Ave, Unit 7/8B</v>
      </c>
      <c r="B1800" s="2" t="str">
        <f>HYPERLINK("https://www.compass.com/building/40-e-end-ave-manhattan-ny-10028/281986569399806037/","40 E End Ave")</f>
        <v>40 E End Ave</v>
      </c>
      <c r="C1800" s="1" t="s">
        <v>53</v>
      </c>
      <c r="D1800" s="1" t="s">
        <v>41</v>
      </c>
      <c r="E1800" s="3">
        <v>8385000</v>
      </c>
      <c r="F1800" s="1">
        <v>2375.3541076487199</v>
      </c>
      <c r="G1800" s="1">
        <v>7</v>
      </c>
      <c r="H1800" s="1">
        <v>5</v>
      </c>
      <c r="I1800" s="1">
        <v>6</v>
      </c>
      <c r="J1800" s="1">
        <v>5.5</v>
      </c>
      <c r="K1800" s="1">
        <v>5</v>
      </c>
      <c r="L1800" s="1">
        <v>1</v>
      </c>
      <c r="M1800" s="4">
        <v>3530</v>
      </c>
      <c r="N1800" s="1">
        <v>3700</v>
      </c>
      <c r="O1800" s="1">
        <v>8977</v>
      </c>
      <c r="P1800" s="1">
        <v>5277</v>
      </c>
      <c r="Q1800" s="1" t="s">
        <v>42</v>
      </c>
      <c r="S1800" s="1" t="s">
        <v>42</v>
      </c>
      <c r="T1800" s="1" t="s">
        <v>203</v>
      </c>
      <c r="U1800" s="1">
        <v>602</v>
      </c>
      <c r="V1800" s="5">
        <v>44271</v>
      </c>
      <c r="W1800" s="5">
        <v>43476</v>
      </c>
      <c r="X1800" s="1">
        <v>9895990</v>
      </c>
      <c r="Y1800" s="1">
        <v>9895990</v>
      </c>
      <c r="Z1800" s="5">
        <v>44173</v>
      </c>
      <c r="AA1800" s="1">
        <v>8385000</v>
      </c>
      <c r="AB1800" s="1" t="s">
        <v>1359</v>
      </c>
      <c r="AC1800" s="5">
        <v>44270</v>
      </c>
      <c r="AF1800" s="1">
        <v>10028</v>
      </c>
      <c r="AI1800" s="1" t="s">
        <v>185</v>
      </c>
      <c r="AJ1800" s="1">
        <v>2019</v>
      </c>
      <c r="AK1800" s="1" t="s">
        <v>81</v>
      </c>
      <c r="AL1800" s="1">
        <v>29</v>
      </c>
    </row>
    <row r="1801" spans="1:38" x14ac:dyDescent="0.2">
      <c r="A1801" s="2" t="str">
        <f>HYPERLINK("https://www.compass.com/listing/200-east-62nd-street-unit-7e-manhattan-ny-10065/29507237508634657/","200 E 62nd St, Unit 7E")</f>
        <v>200 E 62nd St, Unit 7E</v>
      </c>
      <c r="B1801" s="2" t="str">
        <f t="shared" ref="B1801:B1805" si="305">HYPERLINK("https://www.compass.com/building/200-e-62-manhattan-ny/282037506914928197/","200 E 62")</f>
        <v>200 E 62</v>
      </c>
      <c r="C1801" s="1" t="s">
        <v>53</v>
      </c>
      <c r="D1801" s="1" t="s">
        <v>41</v>
      </c>
      <c r="E1801" s="3">
        <v>1895000</v>
      </c>
      <c r="F1801" s="1">
        <v>1688.94830659536</v>
      </c>
      <c r="G1801" s="1">
        <v>3</v>
      </c>
      <c r="H1801" s="1">
        <v>1</v>
      </c>
      <c r="I1801" s="1">
        <v>2</v>
      </c>
      <c r="J1801" s="1">
        <v>2</v>
      </c>
      <c r="K1801" s="1">
        <v>2</v>
      </c>
      <c r="M1801" s="4">
        <v>1122</v>
      </c>
      <c r="N1801" s="1">
        <v>1181</v>
      </c>
      <c r="O1801" s="1">
        <v>2627</v>
      </c>
      <c r="P1801" s="1">
        <v>1446</v>
      </c>
      <c r="Q1801" s="1" t="s">
        <v>42</v>
      </c>
      <c r="S1801" s="1" t="s">
        <v>42</v>
      </c>
      <c r="T1801" s="1" t="s">
        <v>203</v>
      </c>
      <c r="U1801" s="1">
        <v>715</v>
      </c>
      <c r="V1801" s="5">
        <v>43808</v>
      </c>
      <c r="W1801" s="5">
        <v>43056</v>
      </c>
      <c r="X1801" s="1">
        <v>2200000</v>
      </c>
      <c r="Y1801" s="1">
        <v>1995000</v>
      </c>
      <c r="Z1801" s="5">
        <v>43771</v>
      </c>
      <c r="AA1801" s="1">
        <v>1895000</v>
      </c>
      <c r="AB1801" s="1" t="s">
        <v>1360</v>
      </c>
      <c r="AC1801" s="5">
        <v>43795</v>
      </c>
      <c r="AF1801" s="1">
        <v>10065</v>
      </c>
      <c r="AI1801" s="1" t="s">
        <v>76</v>
      </c>
      <c r="AJ1801" s="1">
        <v>1967</v>
      </c>
      <c r="AK1801" s="1" t="s">
        <v>81</v>
      </c>
      <c r="AL1801" s="1">
        <v>113</v>
      </c>
    </row>
    <row r="1802" spans="1:38" x14ac:dyDescent="0.2">
      <c r="A1802" s="2" t="str">
        <f>HYPERLINK("https://www.compass.com/listing/200-east-62nd-street-unit-19d-manhattan-ny-10065/368827608528815601/","200 E 62nd St, Unit 19D")</f>
        <v>200 E 62nd St, Unit 19D</v>
      </c>
      <c r="B1802" s="2" t="str">
        <f t="shared" si="305"/>
        <v>200 E 62</v>
      </c>
      <c r="C1802" s="1" t="s">
        <v>53</v>
      </c>
      <c r="D1802" s="1" t="s">
        <v>41</v>
      </c>
      <c r="E1802" s="3">
        <v>2835000</v>
      </c>
      <c r="F1802" s="1">
        <v>1431.8181818181799</v>
      </c>
      <c r="G1802" s="1">
        <v>6</v>
      </c>
      <c r="H1802" s="1">
        <v>3</v>
      </c>
      <c r="I1802" s="1">
        <v>3</v>
      </c>
      <c r="J1802" s="1">
        <v>2.5</v>
      </c>
      <c r="K1802" s="1">
        <v>2</v>
      </c>
      <c r="L1802" s="1">
        <v>1</v>
      </c>
      <c r="M1802" s="4">
        <v>1980</v>
      </c>
      <c r="N1802" s="1">
        <v>2272</v>
      </c>
      <c r="O1802" s="1">
        <v>5352</v>
      </c>
      <c r="P1802" s="1">
        <v>3080</v>
      </c>
      <c r="Q1802" s="1" t="s">
        <v>42</v>
      </c>
      <c r="S1802" s="1" t="s">
        <v>42</v>
      </c>
      <c r="T1802" s="1" t="s">
        <v>203</v>
      </c>
      <c r="U1802" s="1">
        <v>164</v>
      </c>
      <c r="V1802" s="5">
        <v>44051</v>
      </c>
      <c r="W1802" s="5">
        <v>43760</v>
      </c>
      <c r="X1802" s="1">
        <v>3050000</v>
      </c>
      <c r="Y1802" s="1">
        <v>3050000</v>
      </c>
      <c r="Z1802" s="5">
        <v>44019</v>
      </c>
      <c r="AA1802" s="1">
        <v>2835000</v>
      </c>
      <c r="AB1802" s="1" t="s">
        <v>1361</v>
      </c>
      <c r="AC1802" s="5">
        <v>44049</v>
      </c>
      <c r="AF1802" s="1">
        <v>10065</v>
      </c>
      <c r="AI1802" s="1" t="s">
        <v>76</v>
      </c>
      <c r="AJ1802" s="1">
        <v>1967</v>
      </c>
      <c r="AK1802" s="1" t="s">
        <v>81</v>
      </c>
      <c r="AL1802" s="1">
        <v>113</v>
      </c>
    </row>
    <row r="1803" spans="1:38" x14ac:dyDescent="0.2">
      <c r="A1803" s="2" t="str">
        <f>HYPERLINK("https://www.compass.com/listing/200-east-62nd-street-unit-14c-manhattan-ny-10065/10193312589870545/","200 E 62nd St, Unit 14C")</f>
        <v>200 E 62nd St, Unit 14C</v>
      </c>
      <c r="B1803" s="2" t="str">
        <f t="shared" si="305"/>
        <v>200 E 62</v>
      </c>
      <c r="C1803" s="1" t="s">
        <v>53</v>
      </c>
      <c r="D1803" s="1" t="s">
        <v>41</v>
      </c>
      <c r="E1803" s="3">
        <v>1910000</v>
      </c>
      <c r="F1803" s="1">
        <v>1668.1222707423501</v>
      </c>
      <c r="G1803" s="1">
        <v>3.5</v>
      </c>
      <c r="H1803" s="1">
        <v>1</v>
      </c>
      <c r="I1803" s="1">
        <v>1</v>
      </c>
      <c r="J1803" s="1">
        <v>1.5</v>
      </c>
      <c r="K1803" s="1">
        <v>1</v>
      </c>
      <c r="L1803" s="1">
        <v>1</v>
      </c>
      <c r="M1803" s="4">
        <v>1145</v>
      </c>
      <c r="N1803" s="1">
        <v>1248</v>
      </c>
      <c r="O1803" s="1">
        <v>2713</v>
      </c>
      <c r="P1803" s="1">
        <v>1465</v>
      </c>
      <c r="Q1803" s="1" t="s">
        <v>42</v>
      </c>
      <c r="S1803" s="1" t="s">
        <v>42</v>
      </c>
      <c r="T1803" s="1" t="s">
        <v>203</v>
      </c>
      <c r="V1803" s="5">
        <v>43648</v>
      </c>
      <c r="W1803" s="5">
        <v>43210</v>
      </c>
      <c r="X1803" s="1">
        <v>1975000</v>
      </c>
      <c r="Y1803" s="1">
        <v>1975000</v>
      </c>
      <c r="Z1803" s="5">
        <v>43210</v>
      </c>
      <c r="AA1803" s="1">
        <v>1910000</v>
      </c>
      <c r="AB1803" s="1" t="s">
        <v>1362</v>
      </c>
      <c r="AC1803" s="5">
        <v>43243</v>
      </c>
      <c r="AF1803" s="1">
        <v>10065</v>
      </c>
      <c r="AI1803" s="1" t="s">
        <v>156</v>
      </c>
      <c r="AJ1803" s="1">
        <v>1967</v>
      </c>
      <c r="AK1803" s="1" t="s">
        <v>81</v>
      </c>
      <c r="AL1803" s="1">
        <v>113</v>
      </c>
    </row>
    <row r="1804" spans="1:38" x14ac:dyDescent="0.2">
      <c r="A1804" s="2" t="str">
        <f>HYPERLINK("https://www.compass.com/listing/200-east-62nd-street-unit-9e-manhattan-ny-10065/29413946708470593/","200 E 62nd St, Unit 9E")</f>
        <v>200 E 62nd St, Unit 9E</v>
      </c>
      <c r="B1804" s="2" t="str">
        <f t="shared" si="305"/>
        <v>200 E 62</v>
      </c>
      <c r="C1804" s="1" t="s">
        <v>53</v>
      </c>
      <c r="D1804" s="1" t="s">
        <v>41</v>
      </c>
      <c r="E1804" s="3">
        <v>2270698</v>
      </c>
      <c r="F1804" s="1">
        <v>2023.79500891265</v>
      </c>
      <c r="G1804" s="1">
        <v>3</v>
      </c>
      <c r="H1804" s="1">
        <v>1</v>
      </c>
      <c r="I1804" s="1">
        <v>2</v>
      </c>
      <c r="J1804" s="1">
        <v>2</v>
      </c>
      <c r="K1804" s="1">
        <v>2</v>
      </c>
      <c r="M1804" s="4">
        <v>1122</v>
      </c>
      <c r="N1804" s="1">
        <v>1190</v>
      </c>
      <c r="O1804" s="1">
        <v>2489</v>
      </c>
      <c r="P1804" s="1">
        <v>1299</v>
      </c>
      <c r="Q1804" s="1" t="s">
        <v>42</v>
      </c>
      <c r="S1804" s="1" t="s">
        <v>42</v>
      </c>
      <c r="T1804" s="1" t="s">
        <v>203</v>
      </c>
      <c r="U1804" s="1">
        <v>42</v>
      </c>
      <c r="V1804" s="5">
        <v>43635</v>
      </c>
      <c r="W1804" s="5">
        <v>42234</v>
      </c>
      <c r="X1804" s="1">
        <v>2230000</v>
      </c>
      <c r="Y1804" s="1">
        <v>2230000</v>
      </c>
      <c r="Z1804" s="5">
        <v>42276</v>
      </c>
      <c r="AA1804" s="1">
        <v>2270698</v>
      </c>
      <c r="AB1804" s="1" t="s">
        <v>1363</v>
      </c>
      <c r="AC1804" s="5">
        <v>42502</v>
      </c>
      <c r="AF1804" s="1">
        <v>10065</v>
      </c>
      <c r="AI1804" s="1" t="s">
        <v>156</v>
      </c>
      <c r="AJ1804" s="1">
        <v>1967</v>
      </c>
      <c r="AK1804" s="1" t="s">
        <v>81</v>
      </c>
      <c r="AL1804" s="1">
        <v>113</v>
      </c>
    </row>
    <row r="1805" spans="1:38" x14ac:dyDescent="0.2">
      <c r="A1805" s="2" t="str">
        <f>HYPERLINK("https://www.compass.com/listing/200-east-62nd-street-unit-10c-manhattan-ny-10065/4778488401714242785/","200 E 62nd St, Unit 10C")</f>
        <v>200 E 62nd St, Unit 10C</v>
      </c>
      <c r="B1805" s="2" t="str">
        <f t="shared" si="305"/>
        <v>200 E 62</v>
      </c>
      <c r="C1805" s="1" t="s">
        <v>53</v>
      </c>
      <c r="D1805" s="1" t="s">
        <v>41</v>
      </c>
      <c r="E1805" s="3">
        <v>1864000</v>
      </c>
      <c r="F1805" s="1">
        <v>1627.9475982532699</v>
      </c>
      <c r="G1805" s="1">
        <v>3</v>
      </c>
      <c r="H1805" s="1">
        <v>1</v>
      </c>
      <c r="I1805" s="1">
        <v>1</v>
      </c>
      <c r="J1805" s="1">
        <v>1.5</v>
      </c>
      <c r="K1805" s="1">
        <v>1</v>
      </c>
      <c r="L1805" s="1">
        <v>1</v>
      </c>
      <c r="M1805" s="4">
        <v>1145</v>
      </c>
      <c r="N1805" s="1">
        <v>1234</v>
      </c>
      <c r="O1805" s="1">
        <v>2580</v>
      </c>
      <c r="P1805" s="1">
        <v>1346</v>
      </c>
      <c r="Q1805" s="1" t="s">
        <v>42</v>
      </c>
      <c r="S1805" s="1" t="s">
        <v>42</v>
      </c>
      <c r="T1805" s="1" t="s">
        <v>203</v>
      </c>
      <c r="U1805" s="1">
        <v>429</v>
      </c>
      <c r="V1805" s="5">
        <v>43635</v>
      </c>
      <c r="W1805" s="5">
        <v>42621</v>
      </c>
      <c r="X1805" s="1">
        <v>2265000</v>
      </c>
      <c r="Y1805" s="1">
        <v>1965000</v>
      </c>
      <c r="Z1805" s="5">
        <v>43050</v>
      </c>
      <c r="AA1805" s="1">
        <v>1864000</v>
      </c>
      <c r="AB1805" s="1" t="s">
        <v>1364</v>
      </c>
      <c r="AC1805" s="5">
        <v>43102</v>
      </c>
      <c r="AF1805" s="1">
        <v>10065</v>
      </c>
      <c r="AI1805" s="1" t="s">
        <v>156</v>
      </c>
      <c r="AJ1805" s="1">
        <v>1967</v>
      </c>
      <c r="AK1805" s="1" t="s">
        <v>81</v>
      </c>
      <c r="AL1805" s="1">
        <v>113</v>
      </c>
    </row>
    <row r="1806" spans="1:38" x14ac:dyDescent="0.2">
      <c r="A1806" s="2" t="str">
        <f>HYPERLINK("https://www.compass.com/listing/40-east-end-avenue-unit-5b-manhattan-ny-10028/841485475021619017/","40 E End Ave, Unit 5B")</f>
        <v>40 E End Ave, Unit 5B</v>
      </c>
      <c r="B1806" s="2" t="str">
        <f>HYPERLINK("https://www.compass.com/building/40-e-end-ave-manhattan-ny-10028/281986569399806037/","40 E End Ave")</f>
        <v>40 E End Ave</v>
      </c>
      <c r="C1806" s="1" t="s">
        <v>53</v>
      </c>
      <c r="D1806" s="1" t="s">
        <v>41</v>
      </c>
      <c r="E1806" s="3">
        <v>3222242</v>
      </c>
      <c r="F1806" s="1">
        <v>2282.0410339943301</v>
      </c>
      <c r="H1806" s="1">
        <v>2</v>
      </c>
      <c r="J1806" s="1">
        <v>2.5</v>
      </c>
      <c r="K1806" s="1">
        <v>2</v>
      </c>
      <c r="L1806" s="1">
        <v>1</v>
      </c>
      <c r="M1806" s="4">
        <v>1412</v>
      </c>
      <c r="N1806" s="1">
        <v>1495</v>
      </c>
      <c r="O1806" s="1">
        <v>2847</v>
      </c>
      <c r="P1806" s="1">
        <v>1352</v>
      </c>
      <c r="Q1806" s="1" t="s">
        <v>42</v>
      </c>
      <c r="S1806" s="1" t="s">
        <v>42</v>
      </c>
      <c r="T1806" s="1" t="s">
        <v>203</v>
      </c>
      <c r="AA1806" s="1">
        <v>3222241.94</v>
      </c>
      <c r="AB1806" s="1" t="s">
        <v>1365</v>
      </c>
      <c r="AC1806" s="5">
        <v>43781</v>
      </c>
      <c r="AF1806" s="1">
        <v>10028</v>
      </c>
      <c r="AJ1806" s="1">
        <v>2019</v>
      </c>
      <c r="AK1806" s="1" t="s">
        <v>50</v>
      </c>
      <c r="AL1806" s="1">
        <v>29</v>
      </c>
    </row>
    <row r="1807" spans="1:38" x14ac:dyDescent="0.2">
      <c r="A1807" s="2" t="str">
        <f>HYPERLINK("https://www.compass.com/listing/520-west-45th-street-unit-1b-manhattan-ny-10036/29389763056243761/","520 W 45th St, Unit 1B")</f>
        <v>520 W 45th St, Unit 1B</v>
      </c>
      <c r="B1807" s="2" t="str">
        <f>HYPERLINK("https://www.compass.com/building/inkwell-manhattan-ny/282026081983148485/","Inkwell")</f>
        <v>Inkwell</v>
      </c>
      <c r="C1807" s="1" t="s">
        <v>57</v>
      </c>
      <c r="D1807" s="1" t="s">
        <v>41</v>
      </c>
      <c r="E1807" s="3">
        <v>2900000</v>
      </c>
      <c r="F1807" s="1">
        <v>1425.0614250614201</v>
      </c>
      <c r="G1807" s="1">
        <v>4</v>
      </c>
      <c r="H1807" s="1">
        <v>3</v>
      </c>
      <c r="I1807" s="1">
        <v>3</v>
      </c>
      <c r="J1807" s="1">
        <v>2.5</v>
      </c>
      <c r="M1807" s="4">
        <v>2035</v>
      </c>
      <c r="N1807" s="1">
        <v>1</v>
      </c>
      <c r="O1807" s="1">
        <v>2</v>
      </c>
      <c r="P1807" s="1">
        <v>1</v>
      </c>
      <c r="Q1807" s="1" t="s">
        <v>42</v>
      </c>
      <c r="S1807" s="1" t="s">
        <v>42</v>
      </c>
      <c r="T1807" s="1" t="s">
        <v>203</v>
      </c>
      <c r="U1807" s="1">
        <v>14</v>
      </c>
      <c r="V1807" s="5">
        <v>43670</v>
      </c>
      <c r="W1807" s="5">
        <v>42873</v>
      </c>
      <c r="X1807" s="1">
        <v>2950000</v>
      </c>
      <c r="Y1807" s="1">
        <v>2950000</v>
      </c>
      <c r="Z1807" s="5">
        <v>42887</v>
      </c>
      <c r="AA1807" s="1">
        <v>2900000</v>
      </c>
      <c r="AB1807" s="1" t="s">
        <v>1366</v>
      </c>
      <c r="AC1807" s="5">
        <v>42962</v>
      </c>
      <c r="AF1807" s="1">
        <v>10036</v>
      </c>
      <c r="AI1807" s="1" t="s">
        <v>58</v>
      </c>
      <c r="AJ1807" s="1">
        <v>1905</v>
      </c>
      <c r="AK1807" s="1" t="s">
        <v>137</v>
      </c>
      <c r="AL1807" s="1">
        <v>18</v>
      </c>
    </row>
    <row r="1808" spans="1:38" x14ac:dyDescent="0.2">
      <c r="A1808" s="2" t="str">
        <f>HYPERLINK("https://www.compass.com/listing/200-east-62nd-street-unit-5b-manhattan-ny-10065/29413941633362673/","200 E 62nd St, Unit 5B")</f>
        <v>200 E 62nd St, Unit 5B</v>
      </c>
      <c r="B1808" s="2" t="str">
        <f t="shared" ref="B1808:B1810" si="306">HYPERLINK("https://www.compass.com/building/200-e-62-manhattan-ny/282037506914928197/","200 E 62")</f>
        <v>200 E 62</v>
      </c>
      <c r="C1808" s="1" t="s">
        <v>53</v>
      </c>
      <c r="D1808" s="1" t="s">
        <v>41</v>
      </c>
      <c r="E1808" s="3">
        <v>2500000</v>
      </c>
      <c r="F1808" s="1">
        <v>1474.92625368731</v>
      </c>
      <c r="G1808" s="1">
        <v>4.5</v>
      </c>
      <c r="H1808" s="1">
        <v>2</v>
      </c>
      <c r="I1808" s="1">
        <v>2</v>
      </c>
      <c r="J1808" s="1">
        <v>2.5</v>
      </c>
      <c r="K1808" s="1">
        <v>2</v>
      </c>
      <c r="L1808" s="1">
        <v>1</v>
      </c>
      <c r="M1808" s="4">
        <v>1695</v>
      </c>
      <c r="N1808" s="1">
        <v>1675</v>
      </c>
      <c r="O1808" s="1">
        <v>3503</v>
      </c>
      <c r="P1808" s="1">
        <v>1828</v>
      </c>
      <c r="Q1808" s="1" t="s">
        <v>42</v>
      </c>
      <c r="S1808" s="1" t="s">
        <v>42</v>
      </c>
      <c r="T1808" s="1" t="s">
        <v>203</v>
      </c>
      <c r="U1808" s="1">
        <v>356</v>
      </c>
      <c r="V1808" s="5">
        <v>43662</v>
      </c>
      <c r="W1808" s="5">
        <v>42460</v>
      </c>
      <c r="X1808" s="1">
        <v>2795000</v>
      </c>
      <c r="Y1808" s="1">
        <v>2750000</v>
      </c>
      <c r="Z1808" s="5">
        <v>42816</v>
      </c>
      <c r="AA1808" s="1">
        <v>2500000</v>
      </c>
      <c r="AB1808" s="1" t="s">
        <v>1367</v>
      </c>
      <c r="AC1808" s="5">
        <v>42881</v>
      </c>
      <c r="AF1808" s="1">
        <v>10065</v>
      </c>
      <c r="AI1808" s="1" t="s">
        <v>1338</v>
      </c>
      <c r="AJ1808" s="1">
        <v>1967</v>
      </c>
      <c r="AK1808" s="1" t="s">
        <v>81</v>
      </c>
      <c r="AL1808" s="1">
        <v>113</v>
      </c>
    </row>
    <row r="1809" spans="1:38" x14ac:dyDescent="0.2">
      <c r="A1809" s="2" t="str">
        <f>HYPERLINK("https://www.compass.com/listing/200-east-62nd-street-unit-8e-manhattan-ny-10065/29413944762310673/","200 E 62nd St, Unit 8E")</f>
        <v>200 E 62nd St, Unit 8E</v>
      </c>
      <c r="B1809" s="2" t="str">
        <f t="shared" si="306"/>
        <v>200 E 62</v>
      </c>
      <c r="C1809" s="1" t="s">
        <v>53</v>
      </c>
      <c r="D1809" s="1" t="s">
        <v>41</v>
      </c>
      <c r="E1809" s="3">
        <v>2120098</v>
      </c>
      <c r="F1809" s="1">
        <v>1889.5704099821701</v>
      </c>
      <c r="G1809" s="1">
        <v>3</v>
      </c>
      <c r="H1809" s="1">
        <v>1</v>
      </c>
      <c r="I1809" s="1">
        <v>2</v>
      </c>
      <c r="J1809" s="1">
        <v>2</v>
      </c>
      <c r="K1809" s="1">
        <v>2</v>
      </c>
      <c r="M1809" s="4">
        <v>1122</v>
      </c>
      <c r="N1809" s="1">
        <v>1185</v>
      </c>
      <c r="O1809" s="1">
        <v>2479</v>
      </c>
      <c r="P1809" s="1">
        <v>1294</v>
      </c>
      <c r="Q1809" s="1" t="s">
        <v>42</v>
      </c>
      <c r="S1809" s="1" t="s">
        <v>42</v>
      </c>
      <c r="T1809" s="1" t="s">
        <v>203</v>
      </c>
      <c r="U1809" s="1">
        <v>97</v>
      </c>
      <c r="V1809" s="5">
        <v>43635</v>
      </c>
      <c r="W1809" s="5">
        <v>42200</v>
      </c>
      <c r="X1809" s="1">
        <v>2215000</v>
      </c>
      <c r="Y1809" s="1">
        <v>2215000</v>
      </c>
      <c r="Z1809" s="5">
        <v>42297</v>
      </c>
      <c r="AA1809" s="1">
        <v>2120098</v>
      </c>
      <c r="AB1809" s="1" t="s">
        <v>1368</v>
      </c>
      <c r="AC1809" s="5">
        <v>42497</v>
      </c>
      <c r="AF1809" s="1">
        <v>10065</v>
      </c>
      <c r="AI1809" s="1" t="s">
        <v>156</v>
      </c>
      <c r="AJ1809" s="1">
        <v>1967</v>
      </c>
      <c r="AK1809" s="1" t="s">
        <v>81</v>
      </c>
      <c r="AL1809" s="1">
        <v>113</v>
      </c>
    </row>
    <row r="1810" spans="1:38" x14ac:dyDescent="0.2">
      <c r="A1810" s="2" t="str">
        <f>HYPERLINK("https://www.compass.com/listing/200-east-62nd-street-unit-11c-manhattan-ny-10065/4806752539817023233/","200 E 62nd St, Unit 11C")</f>
        <v>200 E 62nd St, Unit 11C</v>
      </c>
      <c r="B1810" s="2" t="str">
        <f t="shared" si="306"/>
        <v>200 E 62</v>
      </c>
      <c r="C1810" s="1" t="s">
        <v>53</v>
      </c>
      <c r="D1810" s="1" t="s">
        <v>41</v>
      </c>
      <c r="E1810" s="3">
        <v>1200000</v>
      </c>
      <c r="F1810" s="1">
        <v>1041.6666666666599</v>
      </c>
      <c r="G1810" s="1">
        <v>3.5</v>
      </c>
      <c r="H1810" s="1">
        <v>1</v>
      </c>
      <c r="I1810" s="1">
        <v>1</v>
      </c>
      <c r="J1810" s="1">
        <v>1.5</v>
      </c>
      <c r="K1810" s="1">
        <v>1</v>
      </c>
      <c r="L1810" s="1">
        <v>1</v>
      </c>
      <c r="M1810" s="4">
        <v>1152</v>
      </c>
      <c r="N1810" s="1">
        <v>1239</v>
      </c>
      <c r="O1810" s="1">
        <v>2591</v>
      </c>
      <c r="P1810" s="1">
        <v>1352</v>
      </c>
      <c r="Q1810" s="1" t="s">
        <v>42</v>
      </c>
      <c r="S1810" s="1" t="s">
        <v>42</v>
      </c>
      <c r="T1810" s="1" t="s">
        <v>203</v>
      </c>
      <c r="V1810" s="5">
        <v>43635</v>
      </c>
      <c r="W1810" s="5">
        <v>43103</v>
      </c>
      <c r="X1810" s="1">
        <v>2280000</v>
      </c>
      <c r="Y1810" s="1">
        <v>2280000</v>
      </c>
      <c r="Z1810" s="5">
        <v>43103</v>
      </c>
      <c r="AA1810" s="1">
        <v>1200000</v>
      </c>
      <c r="AB1810" s="1" t="s">
        <v>204</v>
      </c>
      <c r="AC1810" s="5">
        <v>43148</v>
      </c>
      <c r="AF1810" s="1">
        <v>10065</v>
      </c>
      <c r="AI1810" s="1" t="s">
        <v>156</v>
      </c>
      <c r="AJ1810" s="1">
        <v>1967</v>
      </c>
      <c r="AK1810" s="1" t="s">
        <v>81</v>
      </c>
      <c r="AL1810" s="1">
        <v>113</v>
      </c>
    </row>
    <row r="1811" spans="1:38" x14ac:dyDescent="0.2">
      <c r="A1811" s="2" t="str">
        <f>HYPERLINK("https://www.compass.com/listing/520-west-45th-street-unit-1b-manhattan-ny-10036/715961226327692625/","520 W 45th St, Unit 1B")</f>
        <v>520 W 45th St, Unit 1B</v>
      </c>
      <c r="B1811" s="2" t="str">
        <f>HYPERLINK("https://www.compass.com/building/inkwell-manhattan-ny/282026081983148485/","Inkwell")</f>
        <v>Inkwell</v>
      </c>
      <c r="C1811" s="1" t="s">
        <v>57</v>
      </c>
      <c r="D1811" s="1" t="s">
        <v>41</v>
      </c>
      <c r="E1811" s="3">
        <v>2960000</v>
      </c>
      <c r="F1811" s="1">
        <v>1449.5592556317299</v>
      </c>
      <c r="G1811" s="1">
        <v>5</v>
      </c>
      <c r="H1811" s="1">
        <v>3</v>
      </c>
      <c r="I1811" s="1">
        <v>3</v>
      </c>
      <c r="J1811" s="1">
        <v>2.5</v>
      </c>
      <c r="K1811" s="1">
        <v>2</v>
      </c>
      <c r="L1811" s="1">
        <v>1</v>
      </c>
      <c r="M1811" s="4">
        <v>2042</v>
      </c>
      <c r="N1811" s="1">
        <v>3505.27</v>
      </c>
      <c r="O1811" s="1">
        <v>7183.27</v>
      </c>
      <c r="P1811" s="1">
        <v>3678</v>
      </c>
      <c r="Q1811" s="1" t="s">
        <v>42</v>
      </c>
      <c r="S1811" s="1" t="s">
        <v>42</v>
      </c>
      <c r="T1811" s="1" t="s">
        <v>203</v>
      </c>
      <c r="V1811" s="5">
        <v>44349</v>
      </c>
      <c r="W1811" s="5">
        <v>44239</v>
      </c>
      <c r="X1811" s="1">
        <v>2998000</v>
      </c>
      <c r="Y1811" s="1">
        <v>2998000</v>
      </c>
      <c r="Z1811" s="5">
        <v>44239</v>
      </c>
      <c r="AA1811" s="1">
        <v>2960000</v>
      </c>
      <c r="AB1811" s="1" t="s">
        <v>1369</v>
      </c>
      <c r="AC1811" s="5">
        <v>44343</v>
      </c>
      <c r="AF1811" s="1">
        <v>10036</v>
      </c>
      <c r="AI1811" s="1" t="s">
        <v>146</v>
      </c>
      <c r="AJ1811" s="1">
        <v>1905</v>
      </c>
      <c r="AK1811" s="1" t="s">
        <v>137</v>
      </c>
      <c r="AL1811" s="1">
        <v>18</v>
      </c>
    </row>
    <row r="1812" spans="1:38" x14ac:dyDescent="0.2">
      <c r="A1812" s="2" t="str">
        <f>HYPERLINK("https://www.compass.com/listing/200-east-62nd-street-unit-11b-manhattan-ny-10065/29413949023726433/","200 E 62nd St, Unit 11B")</f>
        <v>200 E 62nd St, Unit 11B</v>
      </c>
      <c r="B1812" s="2" t="str">
        <f>HYPERLINK("https://www.compass.com/building/200-e-62-manhattan-ny/282037506914928197/","200 E 62")</f>
        <v>200 E 62</v>
      </c>
      <c r="C1812" s="1" t="s">
        <v>53</v>
      </c>
      <c r="D1812" s="1" t="s">
        <v>41</v>
      </c>
      <c r="E1812" s="3">
        <v>2896921</v>
      </c>
      <c r="F1812" s="1">
        <v>1709.09808259587</v>
      </c>
      <c r="G1812" s="1">
        <v>7.5</v>
      </c>
      <c r="H1812" s="1">
        <v>2</v>
      </c>
      <c r="I1812" s="1">
        <v>2</v>
      </c>
      <c r="J1812" s="1">
        <v>2.5</v>
      </c>
      <c r="K1812" s="1">
        <v>2</v>
      </c>
      <c r="L1812" s="1">
        <v>1</v>
      </c>
      <c r="M1812" s="4">
        <v>1695</v>
      </c>
      <c r="N1812" s="1">
        <v>1760</v>
      </c>
      <c r="O1812" s="1">
        <v>3681</v>
      </c>
      <c r="P1812" s="1">
        <v>1921</v>
      </c>
      <c r="Q1812" s="1" t="s">
        <v>42</v>
      </c>
      <c r="S1812" s="1" t="s">
        <v>42</v>
      </c>
      <c r="T1812" s="1" t="s">
        <v>203</v>
      </c>
      <c r="V1812" s="5">
        <v>43641</v>
      </c>
      <c r="W1812" s="5">
        <v>42825</v>
      </c>
      <c r="X1812" s="1">
        <v>3025000</v>
      </c>
      <c r="Y1812" s="1">
        <v>3025000</v>
      </c>
      <c r="Z1812" s="5">
        <v>42825</v>
      </c>
      <c r="AA1812" s="1">
        <v>2896921.25</v>
      </c>
      <c r="AB1812" s="1" t="s">
        <v>1370</v>
      </c>
      <c r="AC1812" s="5">
        <v>42849</v>
      </c>
      <c r="AF1812" s="1">
        <v>10065</v>
      </c>
      <c r="AI1812" s="1" t="s">
        <v>156</v>
      </c>
      <c r="AJ1812" s="1">
        <v>1967</v>
      </c>
      <c r="AK1812" s="1" t="s">
        <v>81</v>
      </c>
      <c r="AL1812" s="1">
        <v>113</v>
      </c>
    </row>
    <row r="1813" spans="1:38" x14ac:dyDescent="0.2">
      <c r="A1813" s="2" t="str">
        <f>HYPERLINK("https://www.compass.com/listing/520-west-45th-street-unit-2a-manhattan-ny-10036/29389763777727953/","520 W 45th St, Unit 2A")</f>
        <v>520 W 45th St, Unit 2A</v>
      </c>
      <c r="B1813" s="2" t="str">
        <f t="shared" ref="B1813:B1816" si="307">HYPERLINK("https://www.compass.com/building/inkwell-manhattan-ny/282026081983148485/","Inkwell")</f>
        <v>Inkwell</v>
      </c>
      <c r="C1813" s="1" t="s">
        <v>57</v>
      </c>
      <c r="D1813" s="1" t="s">
        <v>41</v>
      </c>
      <c r="E1813" s="3">
        <v>2138325</v>
      </c>
      <c r="F1813" s="1">
        <v>1526.2847965738699</v>
      </c>
      <c r="G1813" s="1">
        <v>4</v>
      </c>
      <c r="H1813" s="1">
        <v>2</v>
      </c>
      <c r="I1813" s="1">
        <v>2</v>
      </c>
      <c r="J1813" s="1">
        <v>2</v>
      </c>
      <c r="M1813" s="4">
        <v>1401</v>
      </c>
      <c r="N1813" s="1">
        <v>1921</v>
      </c>
      <c r="O1813" s="1">
        <v>3619</v>
      </c>
      <c r="P1813" s="1">
        <v>1698</v>
      </c>
      <c r="Q1813" s="1" t="s">
        <v>42</v>
      </c>
      <c r="S1813" s="1" t="s">
        <v>42</v>
      </c>
      <c r="T1813" s="1" t="s">
        <v>203</v>
      </c>
      <c r="U1813" s="1">
        <v>14</v>
      </c>
      <c r="V1813" s="5">
        <v>43240</v>
      </c>
      <c r="W1813" s="5">
        <v>42509</v>
      </c>
      <c r="X1813" s="1">
        <v>2100000</v>
      </c>
      <c r="Y1813" s="1">
        <v>2100000</v>
      </c>
      <c r="AA1813" s="1">
        <v>2138325</v>
      </c>
      <c r="AB1813" s="1" t="s">
        <v>1335</v>
      </c>
      <c r="AC1813" s="5">
        <v>42916</v>
      </c>
      <c r="AF1813" s="1">
        <v>10036</v>
      </c>
      <c r="AI1813" s="1" t="s">
        <v>58</v>
      </c>
      <c r="AJ1813" s="1">
        <v>1905</v>
      </c>
      <c r="AK1813" s="1" t="s">
        <v>137</v>
      </c>
      <c r="AL1813" s="1">
        <v>18</v>
      </c>
    </row>
    <row r="1814" spans="1:38" x14ac:dyDescent="0.2">
      <c r="A1814" s="2" t="str">
        <f>HYPERLINK("https://www.compass.com/listing/520-west-45th-street-unit-3c-manhattan-ny-10036/29389766529191425/","520 W 45th St, Unit 3C")</f>
        <v>520 W 45th St, Unit 3C</v>
      </c>
      <c r="B1814" s="2" t="str">
        <f t="shared" si="307"/>
        <v>Inkwell</v>
      </c>
      <c r="C1814" s="1" t="s">
        <v>57</v>
      </c>
      <c r="D1814" s="1" t="s">
        <v>41</v>
      </c>
      <c r="E1814" s="3">
        <v>1845000</v>
      </c>
      <c r="F1814" s="1">
        <v>1409.4728800611099</v>
      </c>
      <c r="G1814" s="1">
        <v>4</v>
      </c>
      <c r="H1814" s="1">
        <v>2</v>
      </c>
      <c r="I1814" s="1">
        <v>2</v>
      </c>
      <c r="J1814" s="1">
        <v>2</v>
      </c>
      <c r="M1814" s="4">
        <v>1309</v>
      </c>
      <c r="N1814" s="1">
        <v>1795</v>
      </c>
      <c r="O1814" s="1">
        <v>3381</v>
      </c>
      <c r="P1814" s="1">
        <v>1586</v>
      </c>
      <c r="Q1814" s="1" t="s">
        <v>42</v>
      </c>
      <c r="S1814" s="1" t="s">
        <v>42</v>
      </c>
      <c r="T1814" s="1" t="s">
        <v>203</v>
      </c>
      <c r="U1814" s="1">
        <v>14</v>
      </c>
      <c r="V1814" s="5">
        <v>43240</v>
      </c>
      <c r="W1814" s="5">
        <v>42509</v>
      </c>
      <c r="X1814" s="1">
        <v>1875000</v>
      </c>
      <c r="Y1814" s="1">
        <v>1875000</v>
      </c>
      <c r="AA1814" s="1">
        <v>1845000</v>
      </c>
      <c r="AB1814" s="1" t="s">
        <v>1347</v>
      </c>
      <c r="AC1814" s="5">
        <v>42985</v>
      </c>
      <c r="AF1814" s="1">
        <v>10036</v>
      </c>
      <c r="AI1814" s="1" t="s">
        <v>58</v>
      </c>
      <c r="AJ1814" s="1">
        <v>1905</v>
      </c>
      <c r="AK1814" s="1" t="s">
        <v>137</v>
      </c>
      <c r="AL1814" s="1">
        <v>18</v>
      </c>
    </row>
    <row r="1815" spans="1:38" x14ac:dyDescent="0.2">
      <c r="A1815" s="2" t="str">
        <f>HYPERLINK("https://www.compass.com/listing/520-west-45th-street-unit-3d-manhattan-ny-10036/29389767007397969/","520 W 45th St, Unit 3D")</f>
        <v>520 W 45th St, Unit 3D</v>
      </c>
      <c r="B1815" s="2" t="str">
        <f t="shared" si="307"/>
        <v>Inkwell</v>
      </c>
      <c r="C1815" s="1" t="s">
        <v>57</v>
      </c>
      <c r="D1815" s="1" t="s">
        <v>41</v>
      </c>
      <c r="E1815" s="3">
        <v>1780000</v>
      </c>
      <c r="F1815" s="1">
        <v>1469.85962014863</v>
      </c>
      <c r="G1815" s="1">
        <v>4</v>
      </c>
      <c r="H1815" s="1">
        <v>2</v>
      </c>
      <c r="I1815" s="1">
        <v>2</v>
      </c>
      <c r="J1815" s="1">
        <v>2</v>
      </c>
      <c r="M1815" s="4">
        <v>1211</v>
      </c>
      <c r="N1815" s="1">
        <v>1661</v>
      </c>
      <c r="O1815" s="1">
        <v>3129</v>
      </c>
      <c r="P1815" s="1">
        <v>1468</v>
      </c>
      <c r="Q1815" s="1" t="s">
        <v>42</v>
      </c>
      <c r="S1815" s="1" t="s">
        <v>42</v>
      </c>
      <c r="T1815" s="1" t="s">
        <v>203</v>
      </c>
      <c r="U1815" s="1">
        <v>14</v>
      </c>
      <c r="V1815" s="5">
        <v>43240</v>
      </c>
      <c r="W1815" s="5">
        <v>42509</v>
      </c>
      <c r="X1815" s="1">
        <v>1780000</v>
      </c>
      <c r="Y1815" s="1">
        <v>1780000</v>
      </c>
      <c r="AA1815" s="1">
        <v>1780000</v>
      </c>
      <c r="AB1815" s="1" t="s">
        <v>1348</v>
      </c>
      <c r="AC1815" s="5">
        <v>42957</v>
      </c>
      <c r="AF1815" s="1">
        <v>10036</v>
      </c>
      <c r="AI1815" s="1" t="s">
        <v>58</v>
      </c>
      <c r="AJ1815" s="1">
        <v>1905</v>
      </c>
      <c r="AK1815" s="1" t="s">
        <v>137</v>
      </c>
      <c r="AL1815" s="1">
        <v>18</v>
      </c>
    </row>
    <row r="1816" spans="1:38" x14ac:dyDescent="0.2">
      <c r="A1816" s="2" t="str">
        <f>HYPERLINK("https://www.compass.com/listing/520-west-45th-street-unit-4b-manhattan-ny-10036/29389767904923169/","520 W 45th St, Unit 4B")</f>
        <v>520 W 45th St, Unit 4B</v>
      </c>
      <c r="B1816" s="2" t="str">
        <f t="shared" si="307"/>
        <v>Inkwell</v>
      </c>
      <c r="C1816" s="1" t="s">
        <v>57</v>
      </c>
      <c r="D1816" s="1" t="s">
        <v>41</v>
      </c>
      <c r="E1816" s="3">
        <v>2225000</v>
      </c>
      <c r="F1816" s="1">
        <v>1703.67534456355</v>
      </c>
      <c r="G1816" s="1">
        <v>4</v>
      </c>
      <c r="H1816" s="1">
        <v>2</v>
      </c>
      <c r="I1816" s="1">
        <v>2</v>
      </c>
      <c r="J1816" s="1">
        <v>2</v>
      </c>
      <c r="M1816" s="4">
        <v>1306</v>
      </c>
      <c r="N1816" s="1">
        <v>1791</v>
      </c>
      <c r="O1816" s="1">
        <v>3374</v>
      </c>
      <c r="P1816" s="1">
        <v>1583</v>
      </c>
      <c r="Q1816" s="1" t="s">
        <v>42</v>
      </c>
      <c r="S1816" s="1" t="s">
        <v>42</v>
      </c>
      <c r="T1816" s="1" t="s">
        <v>203</v>
      </c>
      <c r="U1816" s="1">
        <v>14</v>
      </c>
      <c r="V1816" s="5">
        <v>43240</v>
      </c>
      <c r="W1816" s="5">
        <v>42509</v>
      </c>
      <c r="X1816" s="1">
        <v>2225000</v>
      </c>
      <c r="Y1816" s="1">
        <v>2225000</v>
      </c>
      <c r="AA1816" s="1">
        <v>2225000</v>
      </c>
      <c r="AB1816" s="1" t="s">
        <v>1336</v>
      </c>
      <c r="AC1816" s="5">
        <v>42940</v>
      </c>
      <c r="AF1816" s="1">
        <v>10036</v>
      </c>
      <c r="AI1816" s="1" t="s">
        <v>58</v>
      </c>
      <c r="AJ1816" s="1">
        <v>1905</v>
      </c>
      <c r="AK1816" s="1" t="s">
        <v>137</v>
      </c>
      <c r="AL1816" s="1">
        <v>18</v>
      </c>
    </row>
    <row r="1817" spans="1:38" x14ac:dyDescent="0.2">
      <c r="A1817" s="2" t="str">
        <f>HYPERLINK("https://www.compass.com/listing/200-east-62nd-street-unit-8b-manhattan-ny-10065/29413944359660305/","200 E 62nd St, Unit 8B")</f>
        <v>200 E 62nd St, Unit 8B</v>
      </c>
      <c r="B1817" s="2" t="str">
        <f t="shared" ref="B1817:B1821" si="308">HYPERLINK("https://www.compass.com/building/200-e-62-manhattan-ny/282037506914928197/","200 E 62")</f>
        <v>200 E 62</v>
      </c>
      <c r="C1817" s="1" t="s">
        <v>53</v>
      </c>
      <c r="D1817" s="1" t="s">
        <v>41</v>
      </c>
      <c r="E1817" s="3">
        <v>3038000</v>
      </c>
      <c r="F1817" s="1">
        <v>1792.33038348082</v>
      </c>
      <c r="G1817" s="1">
        <v>4.5</v>
      </c>
      <c r="H1817" s="1">
        <v>2</v>
      </c>
      <c r="I1817" s="1">
        <v>2</v>
      </c>
      <c r="J1817" s="1">
        <v>2</v>
      </c>
      <c r="K1817" s="1">
        <v>2</v>
      </c>
      <c r="M1817" s="4">
        <v>1695</v>
      </c>
      <c r="N1817" s="1">
        <v>1718</v>
      </c>
      <c r="O1817" s="1">
        <v>3593</v>
      </c>
      <c r="P1817" s="1">
        <v>1875</v>
      </c>
      <c r="Q1817" s="1" t="s">
        <v>42</v>
      </c>
      <c r="S1817" s="1" t="s">
        <v>42</v>
      </c>
      <c r="T1817" s="1" t="s">
        <v>203</v>
      </c>
      <c r="U1817" s="1">
        <v>300</v>
      </c>
      <c r="V1817" s="5">
        <v>43635</v>
      </c>
      <c r="W1817" s="5">
        <v>42201</v>
      </c>
      <c r="X1817" s="1">
        <v>3165000</v>
      </c>
      <c r="Y1817" s="1">
        <v>3165000</v>
      </c>
      <c r="Z1817" s="5">
        <v>42501</v>
      </c>
      <c r="AA1817" s="1">
        <v>3038000</v>
      </c>
      <c r="AB1817" s="1" t="s">
        <v>1371</v>
      </c>
      <c r="AC1817" s="5">
        <v>42527</v>
      </c>
      <c r="AF1817" s="1">
        <v>10065</v>
      </c>
      <c r="AI1817" s="1" t="s">
        <v>156</v>
      </c>
      <c r="AJ1817" s="1">
        <v>1967</v>
      </c>
      <c r="AK1817" s="1" t="s">
        <v>81</v>
      </c>
      <c r="AL1817" s="1">
        <v>113</v>
      </c>
    </row>
    <row r="1818" spans="1:38" x14ac:dyDescent="0.2">
      <c r="A1818" s="2" t="str">
        <f>HYPERLINK("https://www.compass.com/listing/200-east-62nd-street-unit-10b-manhattan-ny-10065/29413947497082897/","200 E 62nd St, Unit 10B")</f>
        <v>200 E 62nd St, Unit 10B</v>
      </c>
      <c r="B1818" s="2" t="str">
        <f t="shared" si="308"/>
        <v>200 E 62</v>
      </c>
      <c r="C1818" s="1" t="s">
        <v>53</v>
      </c>
      <c r="D1818" s="1" t="s">
        <v>41</v>
      </c>
      <c r="E1818" s="3">
        <v>2800000</v>
      </c>
      <c r="F1818" s="1">
        <v>1651.9174041297899</v>
      </c>
      <c r="G1818" s="1">
        <v>4</v>
      </c>
      <c r="H1818" s="1">
        <v>2</v>
      </c>
      <c r="I1818" s="1">
        <v>2</v>
      </c>
      <c r="J1818" s="1">
        <v>2.5</v>
      </c>
      <c r="K1818" s="1">
        <v>2</v>
      </c>
      <c r="L1818" s="1">
        <v>1</v>
      </c>
      <c r="M1818" s="4">
        <v>1695</v>
      </c>
      <c r="N1818" s="1">
        <v>1746</v>
      </c>
      <c r="O1818" s="1">
        <v>3651</v>
      </c>
      <c r="P1818" s="1">
        <v>1905</v>
      </c>
      <c r="Q1818" s="1" t="s">
        <v>42</v>
      </c>
      <c r="S1818" s="1" t="s">
        <v>42</v>
      </c>
      <c r="T1818" s="1" t="s">
        <v>203</v>
      </c>
      <c r="U1818" s="1">
        <v>539</v>
      </c>
      <c r="V1818" s="5">
        <v>43635</v>
      </c>
      <c r="W1818" s="5">
        <v>42284</v>
      </c>
      <c r="X1818" s="1">
        <v>3255000</v>
      </c>
      <c r="Y1818" s="1">
        <v>2995000</v>
      </c>
      <c r="Z1818" s="5">
        <v>42823</v>
      </c>
      <c r="AA1818" s="1">
        <v>2800000</v>
      </c>
      <c r="AB1818" s="1" t="s">
        <v>1372</v>
      </c>
      <c r="AC1818" s="5">
        <v>42839</v>
      </c>
      <c r="AF1818" s="1">
        <v>10065</v>
      </c>
      <c r="AI1818" s="1" t="s">
        <v>156</v>
      </c>
      <c r="AJ1818" s="1">
        <v>1967</v>
      </c>
      <c r="AK1818" s="1" t="s">
        <v>81</v>
      </c>
      <c r="AL1818" s="1">
        <v>113</v>
      </c>
    </row>
    <row r="1819" spans="1:38" x14ac:dyDescent="0.2">
      <c r="A1819" s="2" t="str">
        <f>HYPERLINK("https://www.compass.com/listing/200-east-62nd-street-unit-11d-manhattan-ny-10065/728305374488185329/","200 E 62nd St, Unit 11D")</f>
        <v>200 E 62nd St, Unit 11D</v>
      </c>
      <c r="B1819" s="2" t="str">
        <f t="shared" si="308"/>
        <v>200 E 62</v>
      </c>
      <c r="C1819" s="1" t="s">
        <v>53</v>
      </c>
      <c r="D1819" s="1" t="s">
        <v>41</v>
      </c>
      <c r="E1819" s="3">
        <v>3749000</v>
      </c>
      <c r="F1819" s="1">
        <v>1893.43434343434</v>
      </c>
      <c r="G1819" s="1">
        <v>6</v>
      </c>
      <c r="H1819" s="1">
        <v>3</v>
      </c>
      <c r="I1819" s="1">
        <v>3</v>
      </c>
      <c r="J1819" s="1">
        <v>2.5</v>
      </c>
      <c r="K1819" s="1">
        <v>2</v>
      </c>
      <c r="L1819" s="1">
        <v>1</v>
      </c>
      <c r="M1819" s="4">
        <v>1980</v>
      </c>
      <c r="N1819" s="1">
        <v>2124</v>
      </c>
      <c r="O1819" s="1">
        <v>4278</v>
      </c>
      <c r="P1819" s="1">
        <v>2154</v>
      </c>
      <c r="Q1819" s="1" t="s">
        <v>42</v>
      </c>
      <c r="S1819" s="1" t="s">
        <v>42</v>
      </c>
      <c r="T1819" s="1" t="s">
        <v>203</v>
      </c>
      <c r="U1819" s="1">
        <v>67</v>
      </c>
      <c r="V1819" s="5">
        <v>44427</v>
      </c>
      <c r="W1819" s="5">
        <v>44246</v>
      </c>
      <c r="X1819" s="1">
        <v>3749000</v>
      </c>
      <c r="Y1819" s="1">
        <v>3749000</v>
      </c>
      <c r="Z1819" s="5">
        <v>44314</v>
      </c>
      <c r="AA1819" s="1">
        <v>3749000</v>
      </c>
      <c r="AB1819" s="1" t="s">
        <v>204</v>
      </c>
      <c r="AC1819" s="5">
        <v>44424</v>
      </c>
      <c r="AF1819" s="1">
        <v>10065</v>
      </c>
      <c r="AI1819" s="1" t="s">
        <v>1338</v>
      </c>
      <c r="AJ1819" s="1">
        <v>1967</v>
      </c>
      <c r="AK1819" s="1" t="s">
        <v>50</v>
      </c>
      <c r="AL1819" s="1">
        <v>113</v>
      </c>
    </row>
    <row r="1820" spans="1:38" x14ac:dyDescent="0.2">
      <c r="A1820" s="2" t="str">
        <f>HYPERLINK("https://www.compass.com/listing/200-east-62nd-street-unit-21e-manhattan-ny-10065/4852283406760809729/","200 E 62nd St, Unit 21E")</f>
        <v>200 E 62nd St, Unit 21E</v>
      </c>
      <c r="B1820" s="2" t="str">
        <f t="shared" si="308"/>
        <v>200 E 62</v>
      </c>
      <c r="C1820" s="1" t="s">
        <v>53</v>
      </c>
      <c r="D1820" s="1" t="s">
        <v>41</v>
      </c>
      <c r="E1820" s="3">
        <v>2450000</v>
      </c>
      <c r="F1820" s="1">
        <v>1914.0625</v>
      </c>
      <c r="G1820" s="1">
        <v>4</v>
      </c>
      <c r="H1820" s="1">
        <v>2</v>
      </c>
      <c r="I1820" s="1">
        <v>2</v>
      </c>
      <c r="J1820" s="1">
        <v>2</v>
      </c>
      <c r="K1820" s="1">
        <v>2</v>
      </c>
      <c r="M1820" s="4">
        <v>1280</v>
      </c>
      <c r="N1820" s="1">
        <v>1352</v>
      </c>
      <c r="O1820" s="1">
        <v>2827</v>
      </c>
      <c r="P1820" s="1">
        <v>1475</v>
      </c>
      <c r="Q1820" s="1" t="s">
        <v>42</v>
      </c>
      <c r="S1820" s="1" t="s">
        <v>42</v>
      </c>
      <c r="T1820" s="1" t="s">
        <v>203</v>
      </c>
      <c r="U1820" s="1">
        <v>64</v>
      </c>
      <c r="V1820" s="5">
        <v>43649</v>
      </c>
      <c r="W1820" s="5">
        <v>42935</v>
      </c>
      <c r="X1820" s="1">
        <v>2550000</v>
      </c>
      <c r="Y1820" s="1">
        <v>2550000</v>
      </c>
      <c r="Z1820" s="5">
        <v>42999</v>
      </c>
      <c r="AA1820" s="1">
        <v>2450000</v>
      </c>
      <c r="AB1820" s="1" t="s">
        <v>1373</v>
      </c>
      <c r="AC1820" s="5">
        <v>43028</v>
      </c>
      <c r="AF1820" s="1">
        <v>10065</v>
      </c>
      <c r="AI1820" s="1" t="s">
        <v>156</v>
      </c>
      <c r="AJ1820" s="1">
        <v>1967</v>
      </c>
      <c r="AK1820" s="1" t="s">
        <v>81</v>
      </c>
      <c r="AL1820" s="1">
        <v>113</v>
      </c>
    </row>
    <row r="1821" spans="1:38" x14ac:dyDescent="0.2">
      <c r="A1821" s="2" t="str">
        <f>HYPERLINK("https://www.compass.com/listing/200-east-62nd-street-unit-16e-manhattan-ny-10065/29413954979721329/","200 E 62nd St, Unit 16E")</f>
        <v>200 E 62nd St, Unit 16E</v>
      </c>
      <c r="B1821" s="2" t="str">
        <f t="shared" si="308"/>
        <v>200 E 62</v>
      </c>
      <c r="C1821" s="1" t="s">
        <v>53</v>
      </c>
      <c r="D1821" s="1" t="s">
        <v>41</v>
      </c>
      <c r="E1821" s="3">
        <v>3351264</v>
      </c>
      <c r="F1821" s="1">
        <v>1731.02479338842</v>
      </c>
      <c r="G1821" s="1">
        <v>4</v>
      </c>
      <c r="H1821" s="1">
        <v>2</v>
      </c>
      <c r="I1821" s="1">
        <v>2</v>
      </c>
      <c r="J1821" s="1">
        <v>2.5</v>
      </c>
      <c r="K1821" s="1">
        <v>2</v>
      </c>
      <c r="L1821" s="1">
        <v>1</v>
      </c>
      <c r="M1821" s="4">
        <v>1936</v>
      </c>
      <c r="N1821" s="1">
        <v>2039</v>
      </c>
      <c r="O1821" s="1">
        <v>4264</v>
      </c>
      <c r="P1821" s="1">
        <v>2225</v>
      </c>
      <c r="Q1821" s="1" t="s">
        <v>42</v>
      </c>
      <c r="S1821" s="1" t="s">
        <v>42</v>
      </c>
      <c r="T1821" s="1" t="s">
        <v>203</v>
      </c>
      <c r="U1821" s="1">
        <v>355</v>
      </c>
      <c r="V1821" s="5">
        <v>43635</v>
      </c>
      <c r="W1821" s="5">
        <v>42453</v>
      </c>
      <c r="X1821" s="1">
        <v>3600000</v>
      </c>
      <c r="Y1821" s="1">
        <v>3475000</v>
      </c>
      <c r="Z1821" s="5">
        <v>42808</v>
      </c>
      <c r="AA1821" s="1">
        <v>3351264</v>
      </c>
      <c r="AB1821" s="1" t="s">
        <v>1374</v>
      </c>
      <c r="AC1821" s="5">
        <v>42839</v>
      </c>
      <c r="AF1821" s="1">
        <v>10065</v>
      </c>
      <c r="AI1821" s="1" t="s">
        <v>156</v>
      </c>
      <c r="AJ1821" s="1">
        <v>1967</v>
      </c>
      <c r="AK1821" s="1" t="s">
        <v>81</v>
      </c>
      <c r="AL1821" s="1">
        <v>113</v>
      </c>
    </row>
    <row r="1822" spans="1:38" x14ac:dyDescent="0.2">
      <c r="A1822" s="2" t="str">
        <f>HYPERLINK("https://www.compass.com/listing/520-west-45th-street-unit-1a-manhattan-ny-10036/801632364253618025/","520 W 45th St, Unit 1A")</f>
        <v>520 W 45th St, Unit 1A</v>
      </c>
      <c r="B1822" s="2" t="str">
        <f>HYPERLINK("https://www.compass.com/building/inkwell-manhattan-ny/282026081983148485/","Inkwell")</f>
        <v>Inkwell</v>
      </c>
      <c r="C1822" s="1" t="s">
        <v>57</v>
      </c>
      <c r="D1822" s="1" t="s">
        <v>41</v>
      </c>
      <c r="E1822" s="3">
        <v>2700000</v>
      </c>
      <c r="F1822" s="1">
        <v>1420.3051025775901</v>
      </c>
      <c r="G1822" s="1">
        <v>5</v>
      </c>
      <c r="H1822" s="1">
        <v>3</v>
      </c>
      <c r="I1822" s="1">
        <v>3</v>
      </c>
      <c r="J1822" s="1">
        <v>3</v>
      </c>
      <c r="M1822" s="4">
        <v>1901</v>
      </c>
      <c r="N1822" s="1">
        <v>1</v>
      </c>
      <c r="O1822" s="1">
        <v>2</v>
      </c>
      <c r="P1822" s="1">
        <v>1</v>
      </c>
      <c r="Q1822" s="1" t="s">
        <v>42</v>
      </c>
      <c r="S1822" s="1" t="s">
        <v>42</v>
      </c>
      <c r="T1822" s="1" t="s">
        <v>203</v>
      </c>
      <c r="U1822" s="1">
        <v>386</v>
      </c>
      <c r="V1822" s="5">
        <v>43132</v>
      </c>
      <c r="W1822" s="5">
        <v>42662</v>
      </c>
      <c r="X1822" s="1">
        <v>2800000</v>
      </c>
      <c r="Y1822" s="1">
        <v>2800000</v>
      </c>
      <c r="Z1822" s="5">
        <v>43048</v>
      </c>
      <c r="AA1822" s="1">
        <v>2700000</v>
      </c>
      <c r="AB1822" s="1" t="s">
        <v>1375</v>
      </c>
      <c r="AC1822" s="5">
        <v>43080</v>
      </c>
      <c r="AF1822" s="1">
        <v>10036</v>
      </c>
      <c r="AI1822" s="1" t="s">
        <v>58</v>
      </c>
      <c r="AJ1822" s="1">
        <v>1905</v>
      </c>
      <c r="AK1822" s="1" t="s">
        <v>137</v>
      </c>
      <c r="AL1822" s="1">
        <v>18</v>
      </c>
    </row>
    <row r="1823" spans="1:38" x14ac:dyDescent="0.2">
      <c r="A1823" s="2" t="str">
        <f>HYPERLINK("https://www.compass.com/listing/200-east-62nd-street-unit-27d-manhattan-ny-10065/287580117163691793/","200 E 62nd St, Unit 27D")</f>
        <v>200 E 62nd St, Unit 27D</v>
      </c>
      <c r="B1823" s="2" t="str">
        <f t="shared" ref="B1823:B1828" si="309">HYPERLINK("https://www.compass.com/building/200-e-62-manhattan-ny/282037506914928197/","200 E 62")</f>
        <v>200 E 62</v>
      </c>
      <c r="C1823" s="1" t="s">
        <v>53</v>
      </c>
      <c r="D1823" s="1" t="s">
        <v>41</v>
      </c>
      <c r="E1823" s="3">
        <v>2915000</v>
      </c>
      <c r="F1823" s="1">
        <v>1677.2151898734101</v>
      </c>
      <c r="G1823" s="1">
        <v>5</v>
      </c>
      <c r="H1823" s="1">
        <v>2</v>
      </c>
      <c r="I1823" s="1">
        <v>3</v>
      </c>
      <c r="J1823" s="1">
        <v>2.5</v>
      </c>
      <c r="K1823" s="1">
        <v>2</v>
      </c>
      <c r="L1823" s="1">
        <v>1</v>
      </c>
      <c r="M1823" s="4">
        <v>1738</v>
      </c>
      <c r="N1823" s="1">
        <v>2032</v>
      </c>
      <c r="O1823" s="1">
        <v>4822</v>
      </c>
      <c r="P1823" s="1">
        <v>2790</v>
      </c>
      <c r="Q1823" s="1" t="s">
        <v>42</v>
      </c>
      <c r="S1823" s="1" t="s">
        <v>42</v>
      </c>
      <c r="T1823" s="1" t="s">
        <v>203</v>
      </c>
      <c r="U1823" s="1">
        <v>390</v>
      </c>
      <c r="V1823" s="5">
        <v>44180</v>
      </c>
      <c r="W1823" s="5">
        <v>43648</v>
      </c>
      <c r="X1823" s="1">
        <v>3325000</v>
      </c>
      <c r="Y1823" s="1">
        <v>3325000</v>
      </c>
      <c r="Z1823" s="5">
        <v>44133</v>
      </c>
      <c r="AA1823" s="1">
        <v>2915000</v>
      </c>
      <c r="AB1823" s="1" t="s">
        <v>1376</v>
      </c>
      <c r="AC1823" s="5">
        <v>44179</v>
      </c>
      <c r="AF1823" s="1">
        <v>10065</v>
      </c>
      <c r="AI1823" s="1" t="s">
        <v>156</v>
      </c>
      <c r="AJ1823" s="1">
        <v>1967</v>
      </c>
      <c r="AK1823" s="1" t="s">
        <v>81</v>
      </c>
      <c r="AL1823" s="1">
        <v>113</v>
      </c>
    </row>
    <row r="1824" spans="1:38" x14ac:dyDescent="0.2">
      <c r="A1824" s="2" t="str">
        <f>HYPERLINK("https://www.compass.com/listing/200-east-62nd-street-unit-21d-manhattan-ny-10065/4852287283119794529/","200 E 62nd St, Unit 21D")</f>
        <v>200 E 62nd St, Unit 21D</v>
      </c>
      <c r="B1824" s="2" t="str">
        <f t="shared" si="309"/>
        <v>200 E 62</v>
      </c>
      <c r="C1824" s="1" t="s">
        <v>53</v>
      </c>
      <c r="D1824" s="1" t="s">
        <v>41</v>
      </c>
      <c r="E1824" s="3">
        <v>2965050</v>
      </c>
      <c r="F1824" s="1">
        <v>1694.31428571428</v>
      </c>
      <c r="G1824" s="1">
        <v>5</v>
      </c>
      <c r="H1824" s="1">
        <v>2</v>
      </c>
      <c r="I1824" s="1">
        <v>2</v>
      </c>
      <c r="J1824" s="1">
        <v>2.5</v>
      </c>
      <c r="K1824" s="1">
        <v>2</v>
      </c>
      <c r="L1824" s="1">
        <v>1</v>
      </c>
      <c r="M1824" s="4">
        <v>1750</v>
      </c>
      <c r="N1824" s="1">
        <v>1933</v>
      </c>
      <c r="O1824" s="1">
        <v>4043</v>
      </c>
      <c r="P1824" s="1">
        <v>2110</v>
      </c>
      <c r="Q1824" s="1" t="s">
        <v>42</v>
      </c>
      <c r="S1824" s="1" t="s">
        <v>42</v>
      </c>
      <c r="T1824" s="1" t="s">
        <v>203</v>
      </c>
      <c r="U1824" s="1">
        <v>197</v>
      </c>
      <c r="V1824" s="5">
        <v>43635</v>
      </c>
      <c r="W1824" s="5">
        <v>42837</v>
      </c>
      <c r="X1824" s="1">
        <v>3200000</v>
      </c>
      <c r="Y1824" s="1">
        <v>2995000</v>
      </c>
      <c r="Z1824" s="5">
        <v>43034</v>
      </c>
      <c r="AA1824" s="1">
        <v>2965050</v>
      </c>
      <c r="AB1824" s="1" t="s">
        <v>1377</v>
      </c>
      <c r="AC1824" s="5">
        <v>43066</v>
      </c>
      <c r="AF1824" s="1">
        <v>10065</v>
      </c>
      <c r="AI1824" s="1" t="s">
        <v>156</v>
      </c>
      <c r="AJ1824" s="1">
        <v>1967</v>
      </c>
      <c r="AK1824" s="1" t="s">
        <v>81</v>
      </c>
      <c r="AL1824" s="1">
        <v>113</v>
      </c>
    </row>
    <row r="1825" spans="1:38" x14ac:dyDescent="0.2">
      <c r="A1825" s="2" t="str">
        <f>HYPERLINK("https://www.compass.com/listing/200-east-62nd-street-unit-28d-manhattan-ny-10065/29641192899718705/","200 E 62nd St, Unit 28D")</f>
        <v>200 E 62nd St, Unit 28D</v>
      </c>
      <c r="B1825" s="2" t="str">
        <f t="shared" si="309"/>
        <v>200 E 62</v>
      </c>
      <c r="C1825" s="1" t="s">
        <v>53</v>
      </c>
      <c r="D1825" s="1" t="s">
        <v>41</v>
      </c>
      <c r="E1825" s="3">
        <v>3297739</v>
      </c>
      <c r="F1825" s="1">
        <v>1897.4329689297999</v>
      </c>
      <c r="G1825" s="1">
        <v>5</v>
      </c>
      <c r="H1825" s="1">
        <v>2</v>
      </c>
      <c r="I1825" s="1">
        <v>3</v>
      </c>
      <c r="J1825" s="1">
        <v>2.5</v>
      </c>
      <c r="K1825" s="1">
        <v>2</v>
      </c>
      <c r="L1825" s="1">
        <v>1</v>
      </c>
      <c r="M1825" s="4">
        <v>1738</v>
      </c>
      <c r="N1825" s="1">
        <v>2046</v>
      </c>
      <c r="O1825" s="1">
        <v>4872</v>
      </c>
      <c r="P1825" s="1">
        <v>2826</v>
      </c>
      <c r="Q1825" s="1" t="s">
        <v>42</v>
      </c>
      <c r="S1825" s="1" t="s">
        <v>42</v>
      </c>
      <c r="T1825" s="1" t="s">
        <v>203</v>
      </c>
      <c r="U1825" s="1">
        <v>469</v>
      </c>
      <c r="V1825" s="5">
        <v>43710</v>
      </c>
      <c r="W1825" s="5">
        <v>43181</v>
      </c>
      <c r="X1825" s="1">
        <v>3350000</v>
      </c>
      <c r="Y1825" s="1">
        <v>3350000</v>
      </c>
      <c r="Z1825" s="5">
        <v>43650</v>
      </c>
      <c r="AA1825" s="1">
        <v>3297738.5</v>
      </c>
      <c r="AB1825" s="1" t="s">
        <v>1378</v>
      </c>
      <c r="AC1825" s="5">
        <v>43703</v>
      </c>
      <c r="AF1825" s="1">
        <v>10065</v>
      </c>
      <c r="AI1825" s="1" t="s">
        <v>76</v>
      </c>
      <c r="AJ1825" s="1">
        <v>1967</v>
      </c>
      <c r="AK1825" s="1" t="s">
        <v>81</v>
      </c>
      <c r="AL1825" s="1">
        <v>113</v>
      </c>
    </row>
    <row r="1826" spans="1:38" x14ac:dyDescent="0.2">
      <c r="A1826" s="2" t="str">
        <f>HYPERLINK("https://www.compass.com/listing/200-east-62nd-street-unit-4a-manhattan-ny-10065/29413940744167393/","200 E 62nd St, Unit 4A")</f>
        <v>200 E 62nd St, Unit 4A</v>
      </c>
      <c r="B1826" s="2" t="str">
        <f t="shared" si="309"/>
        <v>200 E 62</v>
      </c>
      <c r="C1826" s="1" t="s">
        <v>53</v>
      </c>
      <c r="D1826" s="1" t="s">
        <v>41</v>
      </c>
      <c r="E1826" s="3">
        <v>2675000</v>
      </c>
      <c r="F1826" s="1">
        <v>1574.4555620953499</v>
      </c>
      <c r="G1826" s="1">
        <v>7.5</v>
      </c>
      <c r="H1826" s="1">
        <v>2</v>
      </c>
      <c r="I1826" s="1">
        <v>2</v>
      </c>
      <c r="J1826" s="1">
        <v>2.5</v>
      </c>
      <c r="K1826" s="1">
        <v>2</v>
      </c>
      <c r="L1826" s="1">
        <v>1</v>
      </c>
      <c r="M1826" s="4">
        <v>1699</v>
      </c>
      <c r="N1826" s="1">
        <v>1695</v>
      </c>
      <c r="O1826" s="1">
        <v>3545</v>
      </c>
      <c r="P1826" s="1">
        <v>1850</v>
      </c>
      <c r="Q1826" s="1" t="s">
        <v>42</v>
      </c>
      <c r="S1826" s="1" t="s">
        <v>42</v>
      </c>
      <c r="T1826" s="1" t="s">
        <v>203</v>
      </c>
      <c r="V1826" s="5">
        <v>43642</v>
      </c>
      <c r="W1826" s="5">
        <v>42818</v>
      </c>
      <c r="X1826" s="1">
        <v>2775000</v>
      </c>
      <c r="Y1826" s="1">
        <v>2775000</v>
      </c>
      <c r="Z1826" s="5">
        <v>42818</v>
      </c>
      <c r="AA1826" s="1">
        <v>2675000</v>
      </c>
      <c r="AB1826" s="1" t="s">
        <v>1379</v>
      </c>
      <c r="AC1826" s="5">
        <v>42866</v>
      </c>
      <c r="AF1826" s="1">
        <v>10065</v>
      </c>
      <c r="AI1826" s="1" t="s">
        <v>156</v>
      </c>
      <c r="AJ1826" s="1">
        <v>1967</v>
      </c>
      <c r="AK1826" s="1" t="s">
        <v>81</v>
      </c>
      <c r="AL1826" s="1">
        <v>113</v>
      </c>
    </row>
    <row r="1827" spans="1:38" x14ac:dyDescent="0.2">
      <c r="A1827" s="2" t="str">
        <f>HYPERLINK("https://www.compass.com/listing/200-east-62nd-street-unit-6a-manhattan-ny-10065/29413943034260225/","200 E 62nd St, Unit 6A")</f>
        <v>200 E 62nd St, Unit 6A</v>
      </c>
      <c r="B1827" s="2" t="str">
        <f t="shared" si="309"/>
        <v>200 E 62</v>
      </c>
      <c r="C1827" s="1" t="s">
        <v>53</v>
      </c>
      <c r="D1827" s="1" t="s">
        <v>41</v>
      </c>
      <c r="E1827" s="3">
        <v>2647450</v>
      </c>
      <c r="F1827" s="1">
        <v>1558.24014125956</v>
      </c>
      <c r="G1827" s="1">
        <v>4</v>
      </c>
      <c r="H1827" s="1">
        <v>2</v>
      </c>
      <c r="I1827" s="1">
        <v>2</v>
      </c>
      <c r="J1827" s="1">
        <v>2.5</v>
      </c>
      <c r="K1827" s="1">
        <v>2</v>
      </c>
      <c r="L1827" s="1">
        <v>1</v>
      </c>
      <c r="M1827" s="4">
        <v>1699</v>
      </c>
      <c r="N1827" s="1">
        <v>1723</v>
      </c>
      <c r="O1827" s="1">
        <v>3604</v>
      </c>
      <c r="P1827" s="1">
        <v>1881</v>
      </c>
      <c r="Q1827" s="1" t="s">
        <v>42</v>
      </c>
      <c r="S1827" s="1" t="s">
        <v>42</v>
      </c>
      <c r="T1827" s="1" t="s">
        <v>203</v>
      </c>
      <c r="V1827" s="5">
        <v>43642</v>
      </c>
      <c r="W1827" s="5">
        <v>42724</v>
      </c>
      <c r="X1827" s="1">
        <v>2840000</v>
      </c>
      <c r="Y1827" s="1">
        <v>2840000</v>
      </c>
      <c r="Z1827" s="5">
        <v>42724</v>
      </c>
      <c r="AA1827" s="1">
        <v>2647450</v>
      </c>
      <c r="AB1827" s="1" t="s">
        <v>1380</v>
      </c>
      <c r="AC1827" s="5">
        <v>42810</v>
      </c>
      <c r="AF1827" s="1">
        <v>10065</v>
      </c>
      <c r="AI1827" s="1" t="s">
        <v>156</v>
      </c>
      <c r="AJ1827" s="1">
        <v>1967</v>
      </c>
      <c r="AK1827" s="1" t="s">
        <v>81</v>
      </c>
      <c r="AL1827" s="1">
        <v>113</v>
      </c>
    </row>
    <row r="1828" spans="1:38" x14ac:dyDescent="0.2">
      <c r="A1828" s="2" t="str">
        <f>HYPERLINK("https://www.compass.com/listing/200-east-62nd-street-unit-7d-manhattan-ny-10065/29507237223368417/","200 E 62nd St, Unit 7D")</f>
        <v>200 E 62nd St, Unit 7D</v>
      </c>
      <c r="B1828" s="2" t="str">
        <f t="shared" si="309"/>
        <v>200 E 62</v>
      </c>
      <c r="C1828" s="1" t="s">
        <v>53</v>
      </c>
      <c r="D1828" s="1" t="s">
        <v>41</v>
      </c>
      <c r="E1828" s="3">
        <v>3500000</v>
      </c>
      <c r="F1828" s="1">
        <v>1760.5633802816899</v>
      </c>
      <c r="G1828" s="1">
        <v>6</v>
      </c>
      <c r="H1828" s="1">
        <v>3</v>
      </c>
      <c r="I1828" s="1">
        <v>3</v>
      </c>
      <c r="J1828" s="1">
        <v>2.5</v>
      </c>
      <c r="K1828" s="1">
        <v>2</v>
      </c>
      <c r="L1828" s="1">
        <v>1</v>
      </c>
      <c r="M1828" s="4">
        <v>1988</v>
      </c>
      <c r="N1828" s="1">
        <v>2053</v>
      </c>
      <c r="O1828" s="1">
        <v>4356</v>
      </c>
      <c r="P1828" s="1">
        <v>2303</v>
      </c>
      <c r="Q1828" s="1" t="s">
        <v>42</v>
      </c>
      <c r="S1828" s="1" t="s">
        <v>42</v>
      </c>
      <c r="T1828" s="1" t="s">
        <v>203</v>
      </c>
      <c r="U1828" s="1">
        <v>314</v>
      </c>
      <c r="V1828" s="5">
        <v>43635</v>
      </c>
      <c r="W1828" s="5">
        <v>43056</v>
      </c>
      <c r="X1828" s="1">
        <v>3650000</v>
      </c>
      <c r="Y1828" s="1">
        <v>3650000</v>
      </c>
      <c r="Z1828" s="5">
        <v>43370</v>
      </c>
      <c r="AA1828" s="1">
        <v>3500000</v>
      </c>
      <c r="AB1828" s="1" t="s">
        <v>1381</v>
      </c>
      <c r="AC1828" s="5">
        <v>43391</v>
      </c>
      <c r="AF1828" s="1">
        <v>10065</v>
      </c>
      <c r="AI1828" s="1" t="s">
        <v>156</v>
      </c>
      <c r="AJ1828" s="1">
        <v>1967</v>
      </c>
      <c r="AK1828" s="1" t="s">
        <v>81</v>
      </c>
      <c r="AL1828" s="1">
        <v>113</v>
      </c>
    </row>
    <row r="1829" spans="1:38" x14ac:dyDescent="0.2">
      <c r="A1829" s="2" t="str">
        <f>HYPERLINK("https://www.compass.com/listing/40-east-end-avenue-unit-3b-manhattan-ny-10028/29669129749353217/","40 E End Ave, Unit 3B")</f>
        <v>40 E End Ave, Unit 3B</v>
      </c>
      <c r="B1829" s="2" t="str">
        <f>HYPERLINK("https://www.compass.com/building/40-e-end-ave-manhattan-ny-10028/281986569399806037/","40 E End Ave")</f>
        <v>40 E End Ave</v>
      </c>
      <c r="C1829" s="1" t="s">
        <v>53</v>
      </c>
      <c r="D1829" s="1" t="s">
        <v>41</v>
      </c>
      <c r="E1829" s="3">
        <v>2835000</v>
      </c>
      <c r="F1829" s="1">
        <v>1925.9510869565199</v>
      </c>
      <c r="G1829" s="1">
        <v>4</v>
      </c>
      <c r="H1829" s="1">
        <v>2</v>
      </c>
      <c r="I1829" s="1">
        <v>3</v>
      </c>
      <c r="J1829" s="1">
        <v>2.5</v>
      </c>
      <c r="K1829" s="1">
        <v>2</v>
      </c>
      <c r="L1829" s="1">
        <v>1</v>
      </c>
      <c r="M1829" s="4">
        <v>1472</v>
      </c>
      <c r="N1829" s="1">
        <v>1467</v>
      </c>
      <c r="O1829" s="1">
        <v>3559</v>
      </c>
      <c r="P1829" s="1">
        <v>2092</v>
      </c>
      <c r="Q1829" s="1" t="s">
        <v>42</v>
      </c>
      <c r="S1829" s="1" t="s">
        <v>42</v>
      </c>
      <c r="T1829" s="1" t="s">
        <v>203</v>
      </c>
      <c r="U1829" s="1">
        <v>168</v>
      </c>
      <c r="V1829" s="5">
        <v>44264</v>
      </c>
      <c r="W1829" s="5">
        <v>43971</v>
      </c>
      <c r="Y1829" s="1">
        <v>3095990</v>
      </c>
      <c r="Z1829" s="5">
        <v>44173</v>
      </c>
      <c r="AA1829" s="1">
        <v>2835000</v>
      </c>
      <c r="AB1829" s="1" t="s">
        <v>1382</v>
      </c>
      <c r="AC1829" s="5">
        <v>44260</v>
      </c>
      <c r="AF1829" s="1">
        <v>10028</v>
      </c>
      <c r="AJ1829" s="1">
        <v>2019</v>
      </c>
      <c r="AK1829" s="1" t="s">
        <v>81</v>
      </c>
      <c r="AL1829" s="1">
        <v>29</v>
      </c>
    </row>
    <row r="1830" spans="1:38" x14ac:dyDescent="0.2">
      <c r="A1830" s="2" t="str">
        <f>HYPERLINK("https://www.compass.com/listing/200-east-62nd-street-unit-11e-manhattan-ny-10065/29413949871058993/","200 E 62nd St, Unit 11E")</f>
        <v>200 E 62nd St, Unit 11E</v>
      </c>
      <c r="B1830" s="2" t="str">
        <f t="shared" ref="B1830:B1836" si="310">HYPERLINK("https://www.compass.com/building/200-e-62-manhattan-ny/282037506914928197/","200 E 62")</f>
        <v>200 E 62</v>
      </c>
      <c r="C1830" s="1" t="s">
        <v>53</v>
      </c>
      <c r="D1830" s="1" t="s">
        <v>41</v>
      </c>
      <c r="E1830" s="3">
        <v>3225000</v>
      </c>
      <c r="F1830" s="1">
        <v>1665.80578512396</v>
      </c>
      <c r="G1830" s="1">
        <v>5</v>
      </c>
      <c r="H1830" s="1">
        <v>2</v>
      </c>
      <c r="I1830" s="1">
        <v>2</v>
      </c>
      <c r="J1830" s="1">
        <v>2.5</v>
      </c>
      <c r="K1830" s="1">
        <v>2</v>
      </c>
      <c r="L1830" s="1">
        <v>1</v>
      </c>
      <c r="M1830" s="4">
        <v>1936</v>
      </c>
      <c r="N1830" s="1">
        <v>1982</v>
      </c>
      <c r="O1830" s="1">
        <v>4145</v>
      </c>
      <c r="P1830" s="1">
        <v>2163</v>
      </c>
      <c r="Q1830" s="1" t="s">
        <v>42</v>
      </c>
      <c r="S1830" s="1" t="s">
        <v>42</v>
      </c>
      <c r="T1830" s="1" t="s">
        <v>203</v>
      </c>
      <c r="U1830" s="1">
        <v>55</v>
      </c>
      <c r="V1830" s="5">
        <v>43635</v>
      </c>
      <c r="W1830" s="5">
        <v>42837</v>
      </c>
      <c r="X1830" s="1">
        <v>3395000</v>
      </c>
      <c r="Y1830" s="1">
        <v>3395000</v>
      </c>
      <c r="Z1830" s="5">
        <v>42892</v>
      </c>
      <c r="AA1830" s="1">
        <v>3225000</v>
      </c>
      <c r="AB1830" s="1" t="s">
        <v>1383</v>
      </c>
      <c r="AC1830" s="5">
        <v>42895</v>
      </c>
      <c r="AF1830" s="1">
        <v>10065</v>
      </c>
      <c r="AI1830" s="1" t="s">
        <v>156</v>
      </c>
      <c r="AJ1830" s="1">
        <v>1967</v>
      </c>
      <c r="AK1830" s="1" t="s">
        <v>81</v>
      </c>
      <c r="AL1830" s="1">
        <v>113</v>
      </c>
    </row>
    <row r="1831" spans="1:38" x14ac:dyDescent="0.2">
      <c r="A1831" s="2" t="str">
        <f>HYPERLINK("https://www.compass.com/listing/200-east-62nd-street-unit-5d-manhattan-ny-10065/29413942665244625/","200 E 62nd St, Unit 5D")</f>
        <v>200 E 62nd St, Unit 5D</v>
      </c>
      <c r="B1831" s="2" t="str">
        <f t="shared" si="310"/>
        <v>200 E 62</v>
      </c>
      <c r="C1831" s="1" t="s">
        <v>53</v>
      </c>
      <c r="D1831" s="1" t="s">
        <v>41</v>
      </c>
      <c r="E1831" s="3">
        <v>3432617</v>
      </c>
      <c r="F1831" s="1">
        <v>1726.66851106639</v>
      </c>
      <c r="G1831" s="1">
        <v>5</v>
      </c>
      <c r="H1831" s="1">
        <v>3</v>
      </c>
      <c r="I1831" s="1">
        <v>2</v>
      </c>
      <c r="J1831" s="1">
        <v>2.5</v>
      </c>
      <c r="K1831" s="1">
        <v>2</v>
      </c>
      <c r="L1831" s="1">
        <v>1</v>
      </c>
      <c r="M1831" s="4">
        <v>1988</v>
      </c>
      <c r="N1831" s="1">
        <v>2043</v>
      </c>
      <c r="O1831" s="1">
        <v>4273</v>
      </c>
      <c r="P1831" s="1">
        <v>2230</v>
      </c>
      <c r="Q1831" s="1" t="s">
        <v>42</v>
      </c>
      <c r="S1831" s="1" t="s">
        <v>42</v>
      </c>
      <c r="T1831" s="1" t="s">
        <v>203</v>
      </c>
      <c r="U1831" s="1">
        <v>62</v>
      </c>
      <c r="V1831" s="5">
        <v>43635</v>
      </c>
      <c r="W1831" s="5">
        <v>42495</v>
      </c>
      <c r="X1831" s="1">
        <v>3495000</v>
      </c>
      <c r="Y1831" s="1">
        <v>3495000</v>
      </c>
      <c r="Z1831" s="5">
        <v>42557</v>
      </c>
      <c r="AA1831" s="1">
        <v>3432617</v>
      </c>
      <c r="AB1831" s="1" t="s">
        <v>1384</v>
      </c>
      <c r="AC1831" s="5">
        <v>42564</v>
      </c>
      <c r="AF1831" s="1">
        <v>10065</v>
      </c>
      <c r="AI1831" s="1" t="s">
        <v>156</v>
      </c>
      <c r="AJ1831" s="1">
        <v>1967</v>
      </c>
      <c r="AK1831" s="1" t="s">
        <v>81</v>
      </c>
      <c r="AL1831" s="1">
        <v>113</v>
      </c>
    </row>
    <row r="1832" spans="1:38" x14ac:dyDescent="0.2">
      <c r="A1832" s="2" t="str">
        <f>HYPERLINK("https://www.compass.com/listing/200-east-62nd-street-unit-4d-manhattan-ny-10065/4852283065470297825/","200 E 62nd St, Unit 4D")</f>
        <v>200 E 62nd St, Unit 4D</v>
      </c>
      <c r="B1832" s="2" t="str">
        <f t="shared" si="310"/>
        <v>200 E 62</v>
      </c>
      <c r="C1832" s="1" t="s">
        <v>53</v>
      </c>
      <c r="D1832" s="1" t="s">
        <v>41</v>
      </c>
      <c r="E1832" s="3">
        <v>3100000</v>
      </c>
      <c r="F1832" s="1">
        <v>1559.35613682092</v>
      </c>
      <c r="G1832" s="1">
        <v>6</v>
      </c>
      <c r="H1832" s="1">
        <v>3</v>
      </c>
      <c r="I1832" s="1">
        <v>2</v>
      </c>
      <c r="J1832" s="1">
        <v>2.5</v>
      </c>
      <c r="K1832" s="1">
        <v>2</v>
      </c>
      <c r="L1832" s="1">
        <v>1</v>
      </c>
      <c r="M1832" s="4">
        <v>1988</v>
      </c>
      <c r="N1832" s="1">
        <v>1990</v>
      </c>
      <c r="O1832" s="1">
        <v>4162</v>
      </c>
      <c r="P1832" s="1">
        <v>2172</v>
      </c>
      <c r="Q1832" s="1" t="s">
        <v>42</v>
      </c>
      <c r="S1832" s="1" t="s">
        <v>42</v>
      </c>
      <c r="T1832" s="1" t="s">
        <v>203</v>
      </c>
      <c r="U1832" s="1">
        <v>348</v>
      </c>
      <c r="V1832" s="5">
        <v>43635</v>
      </c>
      <c r="W1832" s="5">
        <v>42614</v>
      </c>
      <c r="X1832" s="1">
        <v>3495000</v>
      </c>
      <c r="Y1832" s="1">
        <v>3150000</v>
      </c>
      <c r="Z1832" s="5">
        <v>42962</v>
      </c>
      <c r="AA1832" s="1">
        <v>3100000</v>
      </c>
      <c r="AB1832" s="1" t="s">
        <v>1385</v>
      </c>
      <c r="AC1832" s="5">
        <v>43011</v>
      </c>
      <c r="AF1832" s="1">
        <v>10065</v>
      </c>
      <c r="AI1832" s="1" t="s">
        <v>156</v>
      </c>
      <c r="AJ1832" s="1">
        <v>1967</v>
      </c>
      <c r="AK1832" s="1" t="s">
        <v>81</v>
      </c>
      <c r="AL1832" s="1">
        <v>113</v>
      </c>
    </row>
    <row r="1833" spans="1:38" x14ac:dyDescent="0.2">
      <c r="A1833" s="2" t="str">
        <f>HYPERLINK("https://www.compass.com/listing/200-east-62nd-street-unit-5a-manhattan-ny-10065/29413941205626817/","200 E 62nd St, Unit 5A")</f>
        <v>200 E 62nd St, Unit 5A</v>
      </c>
      <c r="B1833" s="2" t="str">
        <f t="shared" si="310"/>
        <v>200 E 62</v>
      </c>
      <c r="C1833" s="1" t="s">
        <v>53</v>
      </c>
      <c r="D1833" s="1" t="s">
        <v>41</v>
      </c>
      <c r="E1833" s="3">
        <v>3029294</v>
      </c>
      <c r="F1833" s="1">
        <v>1782.9864626250701</v>
      </c>
      <c r="G1833" s="1">
        <v>5</v>
      </c>
      <c r="H1833" s="1">
        <v>2</v>
      </c>
      <c r="I1833" s="1">
        <v>2</v>
      </c>
      <c r="J1833" s="1">
        <v>2.5</v>
      </c>
      <c r="K1833" s="1">
        <v>2</v>
      </c>
      <c r="L1833" s="1">
        <v>1</v>
      </c>
      <c r="M1833" s="4">
        <v>1699</v>
      </c>
      <c r="N1833" s="1">
        <v>1709</v>
      </c>
      <c r="O1833" s="1">
        <v>3574</v>
      </c>
      <c r="P1833" s="1">
        <v>1865</v>
      </c>
      <c r="Q1833" s="1" t="s">
        <v>42</v>
      </c>
      <c r="S1833" s="1" t="s">
        <v>42</v>
      </c>
      <c r="T1833" s="1" t="s">
        <v>203</v>
      </c>
      <c r="U1833" s="1">
        <v>77</v>
      </c>
      <c r="V1833" s="5">
        <v>43650</v>
      </c>
      <c r="W1833" s="5">
        <v>42200</v>
      </c>
      <c r="X1833" s="1">
        <v>2975000</v>
      </c>
      <c r="Y1833" s="1">
        <v>2975000</v>
      </c>
      <c r="Z1833" s="5">
        <v>42277</v>
      </c>
      <c r="AA1833" s="1">
        <v>3029294</v>
      </c>
      <c r="AB1833" s="1" t="s">
        <v>1386</v>
      </c>
      <c r="AC1833" s="5">
        <v>42411</v>
      </c>
      <c r="AF1833" s="1">
        <v>10065</v>
      </c>
      <c r="AI1833" s="1" t="s">
        <v>156</v>
      </c>
      <c r="AJ1833" s="1">
        <v>1967</v>
      </c>
      <c r="AK1833" s="1" t="s">
        <v>81</v>
      </c>
      <c r="AL1833" s="1">
        <v>113</v>
      </c>
    </row>
    <row r="1834" spans="1:38" x14ac:dyDescent="0.2">
      <c r="A1834" s="2" t="str">
        <f>HYPERLINK("https://www.compass.com/listing/200-east-62nd-street-unit-14b-manhattan-ny-10065/4852282521326466577/","200 E 62nd St, Unit 14B")</f>
        <v>200 E 62nd St, Unit 14B</v>
      </c>
      <c r="B1834" s="2" t="str">
        <f t="shared" si="310"/>
        <v>200 E 62</v>
      </c>
      <c r="C1834" s="1" t="s">
        <v>53</v>
      </c>
      <c r="D1834" s="1" t="s">
        <v>41</v>
      </c>
      <c r="E1834" s="3">
        <v>2925000</v>
      </c>
      <c r="F1834" s="1">
        <v>1725.6637168141499</v>
      </c>
      <c r="G1834" s="1">
        <v>5</v>
      </c>
      <c r="H1834" s="1">
        <v>2</v>
      </c>
      <c r="I1834" s="1">
        <v>2</v>
      </c>
      <c r="J1834" s="1">
        <v>2.5</v>
      </c>
      <c r="K1834" s="1">
        <v>2</v>
      </c>
      <c r="L1834" s="1">
        <v>1</v>
      </c>
      <c r="M1834" s="4">
        <v>1695</v>
      </c>
      <c r="N1834" s="1">
        <v>1788</v>
      </c>
      <c r="O1834" s="1">
        <v>3740</v>
      </c>
      <c r="P1834" s="1">
        <v>1952</v>
      </c>
      <c r="Q1834" s="1" t="s">
        <v>42</v>
      </c>
      <c r="S1834" s="1" t="s">
        <v>42</v>
      </c>
      <c r="T1834" s="1" t="s">
        <v>203</v>
      </c>
      <c r="U1834" s="1">
        <v>22</v>
      </c>
      <c r="V1834" s="5">
        <v>43635</v>
      </c>
      <c r="W1834" s="5">
        <v>42936</v>
      </c>
      <c r="X1834" s="1">
        <v>2975000</v>
      </c>
      <c r="Y1834" s="1">
        <v>2975000</v>
      </c>
      <c r="Z1834" s="5">
        <v>42958</v>
      </c>
      <c r="AA1834" s="1">
        <v>2925000</v>
      </c>
      <c r="AB1834" s="1" t="s">
        <v>1387</v>
      </c>
      <c r="AC1834" s="5">
        <v>43003</v>
      </c>
      <c r="AF1834" s="1">
        <v>10065</v>
      </c>
      <c r="AI1834" s="1" t="s">
        <v>156</v>
      </c>
      <c r="AJ1834" s="1">
        <v>1967</v>
      </c>
      <c r="AK1834" s="1" t="s">
        <v>81</v>
      </c>
      <c r="AL1834" s="1">
        <v>113</v>
      </c>
    </row>
    <row r="1835" spans="1:38" x14ac:dyDescent="0.2">
      <c r="A1835" s="2" t="str">
        <f>HYPERLINK("https://www.compass.com/listing/200-east-62nd-street-unit-29e-manhattan-ny-10065/29641191691777153/","200 E 62nd St, Unit 29E")</f>
        <v>200 E 62nd St, Unit 29E</v>
      </c>
      <c r="B1835" s="2" t="str">
        <f t="shared" si="310"/>
        <v>200 E 62</v>
      </c>
      <c r="C1835" s="1" t="s">
        <v>53</v>
      </c>
      <c r="D1835" s="1" t="s">
        <v>41</v>
      </c>
      <c r="E1835" s="3">
        <v>4120000</v>
      </c>
      <c r="F1835" s="1">
        <v>1900.36900369003</v>
      </c>
      <c r="G1835" s="1">
        <v>5</v>
      </c>
      <c r="H1835" s="1">
        <v>3</v>
      </c>
      <c r="I1835" s="1">
        <v>3</v>
      </c>
      <c r="J1835" s="1">
        <v>2.5</v>
      </c>
      <c r="K1835" s="1">
        <v>2</v>
      </c>
      <c r="L1835" s="1">
        <v>1</v>
      </c>
      <c r="M1835" s="4">
        <v>2168</v>
      </c>
      <c r="N1835" s="1">
        <v>2710</v>
      </c>
      <c r="O1835" s="1">
        <v>6853</v>
      </c>
      <c r="P1835" s="1">
        <v>4143</v>
      </c>
      <c r="Q1835" s="1" t="s">
        <v>42</v>
      </c>
      <c r="S1835" s="1" t="s">
        <v>42</v>
      </c>
      <c r="T1835" s="1" t="s">
        <v>203</v>
      </c>
      <c r="U1835" s="1">
        <v>555</v>
      </c>
      <c r="V1835" s="5">
        <v>43801</v>
      </c>
      <c r="W1835" s="5">
        <v>43215</v>
      </c>
      <c r="X1835" s="1">
        <v>4550000</v>
      </c>
      <c r="Y1835" s="1">
        <v>4550000</v>
      </c>
      <c r="Z1835" s="5">
        <v>43770</v>
      </c>
      <c r="AA1835" s="1">
        <v>4120000</v>
      </c>
      <c r="AB1835" s="1" t="s">
        <v>1388</v>
      </c>
      <c r="AC1835" s="5">
        <v>43791</v>
      </c>
      <c r="AF1835" s="1">
        <v>10065</v>
      </c>
      <c r="AI1835" s="1" t="s">
        <v>76</v>
      </c>
      <c r="AJ1835" s="1">
        <v>1967</v>
      </c>
      <c r="AK1835" s="1" t="s">
        <v>81</v>
      </c>
      <c r="AL1835" s="1">
        <v>113</v>
      </c>
    </row>
    <row r="1836" spans="1:38" x14ac:dyDescent="0.2">
      <c r="A1836" s="2" t="str">
        <f>HYPERLINK("https://www.compass.com/listing/200-east-62nd-street-unit-27b-manhattan-ny-10065/29413960608394225/","200 E 62nd St, Unit 27B")</f>
        <v>200 E 62nd St, Unit 27B</v>
      </c>
      <c r="B1836" s="2" t="str">
        <f t="shared" si="310"/>
        <v>200 E 62</v>
      </c>
      <c r="C1836" s="1" t="s">
        <v>53</v>
      </c>
      <c r="D1836" s="1" t="s">
        <v>41</v>
      </c>
      <c r="E1836" s="3">
        <v>3645000</v>
      </c>
      <c r="F1836" s="1">
        <v>2150.4424778760999</v>
      </c>
      <c r="G1836" s="1">
        <v>4</v>
      </c>
      <c r="H1836" s="1">
        <v>2</v>
      </c>
      <c r="I1836" s="1">
        <v>2</v>
      </c>
      <c r="J1836" s="1">
        <v>2</v>
      </c>
      <c r="K1836" s="1">
        <v>2</v>
      </c>
      <c r="M1836" s="4">
        <v>1695</v>
      </c>
      <c r="N1836" s="1">
        <v>1985</v>
      </c>
      <c r="O1836" s="1">
        <v>4152</v>
      </c>
      <c r="P1836" s="1">
        <v>2167</v>
      </c>
      <c r="Q1836" s="1" t="s">
        <v>42</v>
      </c>
      <c r="S1836" s="1" t="s">
        <v>42</v>
      </c>
      <c r="T1836" s="1" t="s">
        <v>203</v>
      </c>
      <c r="U1836" s="1">
        <v>373</v>
      </c>
      <c r="V1836" s="5">
        <v>43635</v>
      </c>
      <c r="W1836" s="5">
        <v>42353</v>
      </c>
      <c r="X1836" s="1">
        <v>3990000</v>
      </c>
      <c r="Y1836" s="1">
        <v>3645000</v>
      </c>
      <c r="Z1836" s="5">
        <v>42726</v>
      </c>
      <c r="AA1836" s="1">
        <v>3645000</v>
      </c>
      <c r="AB1836" s="1" t="s">
        <v>1389</v>
      </c>
      <c r="AC1836" s="5">
        <v>42779</v>
      </c>
      <c r="AF1836" s="1">
        <v>10065</v>
      </c>
      <c r="AI1836" s="1" t="s">
        <v>156</v>
      </c>
      <c r="AJ1836" s="1">
        <v>1967</v>
      </c>
      <c r="AK1836" s="1" t="s">
        <v>81</v>
      </c>
      <c r="AL1836" s="1">
        <v>113</v>
      </c>
    </row>
    <row r="1837" spans="1:38" x14ac:dyDescent="0.2">
      <c r="A1837" s="2" t="str">
        <f>HYPERLINK("https://www.compass.com/listing/318-west-47th-street-unit-2-manhattan-ny-10036/110353424901507969/","318 W 47th St, Unit 2")</f>
        <v>318 W 47th St, Unit 2</v>
      </c>
      <c r="B1837" s="2" t="str">
        <f>HYPERLINK("https://www.compass.com/building/318-w-47th-st-manhattan-ny-10036/282023701371694037/","318 W 47th St")</f>
        <v>318 W 47th St</v>
      </c>
      <c r="C1837" s="1" t="s">
        <v>57</v>
      </c>
      <c r="D1837" s="1" t="s">
        <v>41</v>
      </c>
      <c r="E1837" s="3">
        <v>1940000</v>
      </c>
      <c r="F1837" s="1">
        <v>1477.5323686214699</v>
      </c>
      <c r="G1837" s="1">
        <v>4</v>
      </c>
      <c r="H1837" s="1">
        <v>2</v>
      </c>
      <c r="I1837" s="1">
        <v>2</v>
      </c>
      <c r="J1837" s="1">
        <v>2</v>
      </c>
      <c r="K1837" s="1">
        <v>2</v>
      </c>
      <c r="M1837" s="4">
        <v>1313</v>
      </c>
      <c r="N1837" s="1">
        <v>1090</v>
      </c>
      <c r="O1837" s="1">
        <v>1523</v>
      </c>
      <c r="P1837" s="1">
        <v>433</v>
      </c>
      <c r="Q1837" s="1" t="s">
        <v>42</v>
      </c>
      <c r="S1837" s="1" t="s">
        <v>42</v>
      </c>
      <c r="T1837" s="1" t="s">
        <v>203</v>
      </c>
      <c r="U1837" s="1">
        <v>134</v>
      </c>
      <c r="V1837" s="5">
        <v>43607</v>
      </c>
      <c r="W1837" s="5">
        <v>43403</v>
      </c>
      <c r="X1837" s="1">
        <v>2499000</v>
      </c>
      <c r="Y1837" s="1">
        <v>1995000</v>
      </c>
      <c r="Z1837" s="5">
        <v>43538</v>
      </c>
      <c r="AA1837" s="1">
        <v>1940000</v>
      </c>
      <c r="AB1837" s="1" t="s">
        <v>1390</v>
      </c>
      <c r="AC1837" s="5">
        <v>43601</v>
      </c>
      <c r="AF1837" s="1">
        <v>10036</v>
      </c>
      <c r="AI1837" s="1" t="s">
        <v>100</v>
      </c>
      <c r="AJ1837" s="1">
        <v>2016</v>
      </c>
      <c r="AL1837" s="1">
        <v>5</v>
      </c>
    </row>
    <row r="1838" spans="1:38" x14ac:dyDescent="0.2">
      <c r="A1838" s="2" t="str">
        <f>HYPERLINK("https://www.compass.com/listing/200-east-62nd-street-unit-7b-manhattan-ny-10065/29507235000461041/","200 E 62nd St, Unit 7B")</f>
        <v>200 E 62nd St, Unit 7B</v>
      </c>
      <c r="B1838" s="2" t="str">
        <f t="shared" ref="B1838:B1844" si="311">HYPERLINK("https://www.compass.com/building/200-e-62-manhattan-ny/282037506914928197/","200 E 62")</f>
        <v>200 E 62</v>
      </c>
      <c r="C1838" s="1" t="s">
        <v>53</v>
      </c>
      <c r="D1838" s="1" t="s">
        <v>41</v>
      </c>
      <c r="E1838" s="3">
        <v>2725000</v>
      </c>
      <c r="F1838" s="1">
        <v>1607.6696165191699</v>
      </c>
      <c r="G1838" s="1">
        <v>5</v>
      </c>
      <c r="H1838" s="1">
        <v>2</v>
      </c>
      <c r="I1838" s="1">
        <v>3</v>
      </c>
      <c r="J1838" s="1">
        <v>2.5</v>
      </c>
      <c r="K1838" s="1">
        <v>2</v>
      </c>
      <c r="L1838" s="1">
        <v>1</v>
      </c>
      <c r="M1838" s="4">
        <v>1695</v>
      </c>
      <c r="N1838" s="1">
        <v>1703</v>
      </c>
      <c r="O1838" s="1">
        <v>3732</v>
      </c>
      <c r="P1838" s="1">
        <v>2029</v>
      </c>
      <c r="Q1838" s="1" t="s">
        <v>42</v>
      </c>
      <c r="S1838" s="1" t="s">
        <v>42</v>
      </c>
      <c r="T1838" s="1" t="s">
        <v>203</v>
      </c>
      <c r="U1838" s="1">
        <v>309</v>
      </c>
      <c r="V1838" s="5">
        <v>43648</v>
      </c>
      <c r="W1838" s="5">
        <v>43236</v>
      </c>
      <c r="X1838" s="1">
        <v>2850000</v>
      </c>
      <c r="Y1838" s="1">
        <v>2850000</v>
      </c>
      <c r="Z1838" s="5">
        <v>43545</v>
      </c>
      <c r="AA1838" s="1">
        <v>2725000</v>
      </c>
      <c r="AB1838" s="1" t="s">
        <v>1391</v>
      </c>
      <c r="AC1838" s="5">
        <v>43579</v>
      </c>
      <c r="AF1838" s="1">
        <v>10065</v>
      </c>
      <c r="AI1838" s="1" t="s">
        <v>156</v>
      </c>
      <c r="AJ1838" s="1">
        <v>1967</v>
      </c>
      <c r="AK1838" s="1" t="s">
        <v>81</v>
      </c>
      <c r="AL1838" s="1">
        <v>113</v>
      </c>
    </row>
    <row r="1839" spans="1:38" x14ac:dyDescent="0.2">
      <c r="A1839" s="2" t="str">
        <f>HYPERLINK("https://www.compass.com/listing/200-east-62nd-street-unit-17b-manhattan-ny-10065/4827768862483166145/","200 E 62nd St, Unit 17B")</f>
        <v>200 E 62nd St, Unit 17B</v>
      </c>
      <c r="B1839" s="2" t="str">
        <f t="shared" si="311"/>
        <v>200 E 62</v>
      </c>
      <c r="C1839" s="1" t="s">
        <v>53</v>
      </c>
      <c r="D1839" s="1" t="s">
        <v>41</v>
      </c>
      <c r="E1839" s="3">
        <v>3025000</v>
      </c>
      <c r="F1839" s="1">
        <v>1784.6607669616501</v>
      </c>
      <c r="G1839" s="1">
        <v>5.5</v>
      </c>
      <c r="H1839" s="1">
        <v>2</v>
      </c>
      <c r="I1839" s="1">
        <v>2</v>
      </c>
      <c r="J1839" s="1">
        <v>2.5</v>
      </c>
      <c r="K1839" s="1">
        <v>2</v>
      </c>
      <c r="L1839" s="1">
        <v>1</v>
      </c>
      <c r="M1839" s="4">
        <v>1695</v>
      </c>
      <c r="N1839" s="1">
        <v>1873</v>
      </c>
      <c r="O1839" s="1">
        <v>3917</v>
      </c>
      <c r="P1839" s="1">
        <v>2044</v>
      </c>
      <c r="Q1839" s="1" t="s">
        <v>42</v>
      </c>
      <c r="S1839" s="1" t="s">
        <v>42</v>
      </c>
      <c r="T1839" s="1" t="s">
        <v>203</v>
      </c>
      <c r="U1839" s="1">
        <v>191</v>
      </c>
      <c r="V1839" s="5">
        <v>43635</v>
      </c>
      <c r="W1839" s="5">
        <v>42956</v>
      </c>
      <c r="X1839" s="1">
        <v>3075000</v>
      </c>
      <c r="Y1839" s="1">
        <v>3075000</v>
      </c>
      <c r="Z1839" s="5">
        <v>43147</v>
      </c>
      <c r="AA1839" s="1">
        <v>3025000</v>
      </c>
      <c r="AB1839" s="1" t="s">
        <v>1392</v>
      </c>
      <c r="AC1839" s="5">
        <v>43174</v>
      </c>
      <c r="AF1839" s="1">
        <v>10065</v>
      </c>
      <c r="AI1839" s="1" t="s">
        <v>1338</v>
      </c>
      <c r="AJ1839" s="1">
        <v>1967</v>
      </c>
      <c r="AK1839" s="1" t="s">
        <v>81</v>
      </c>
      <c r="AL1839" s="1">
        <v>113</v>
      </c>
    </row>
    <row r="1840" spans="1:38" x14ac:dyDescent="0.2">
      <c r="A1840" s="2" t="str">
        <f>HYPERLINK("https://www.compass.com/listing/200-east-62nd-street-unit-11a-manhattan-ny-10065/29413948654710817/","200 E 62nd St, Unit 11A")</f>
        <v>200 E 62nd St, Unit 11A</v>
      </c>
      <c r="B1840" s="2" t="str">
        <f t="shared" si="311"/>
        <v>200 E 62</v>
      </c>
      <c r="C1840" s="1" t="s">
        <v>53</v>
      </c>
      <c r="D1840" s="1" t="s">
        <v>41</v>
      </c>
      <c r="E1840" s="3">
        <v>2863828</v>
      </c>
      <c r="F1840" s="1">
        <v>1695.57608052101</v>
      </c>
      <c r="G1840" s="1">
        <v>5</v>
      </c>
      <c r="H1840" s="1">
        <v>2</v>
      </c>
      <c r="I1840" s="1">
        <v>2</v>
      </c>
      <c r="J1840" s="1">
        <v>2.5</v>
      </c>
      <c r="K1840" s="1">
        <v>2</v>
      </c>
      <c r="L1840" s="1">
        <v>1</v>
      </c>
      <c r="M1840" s="4">
        <v>1689</v>
      </c>
      <c r="N1840" s="1">
        <v>1785</v>
      </c>
      <c r="O1840" s="1">
        <v>3733</v>
      </c>
      <c r="P1840" s="1">
        <v>1948</v>
      </c>
      <c r="Q1840" s="1" t="s">
        <v>42</v>
      </c>
      <c r="S1840" s="1" t="s">
        <v>42</v>
      </c>
      <c r="T1840" s="1" t="s">
        <v>203</v>
      </c>
      <c r="U1840" s="1">
        <v>112</v>
      </c>
      <c r="V1840" s="5">
        <v>43635</v>
      </c>
      <c r="W1840" s="5">
        <v>42837</v>
      </c>
      <c r="X1840" s="1">
        <v>3025000</v>
      </c>
      <c r="Y1840" s="1">
        <v>2950000</v>
      </c>
      <c r="Z1840" s="5">
        <v>42949</v>
      </c>
      <c r="AA1840" s="1">
        <v>2863828</v>
      </c>
      <c r="AB1840" s="1" t="s">
        <v>1393</v>
      </c>
      <c r="AC1840" s="5">
        <v>43011</v>
      </c>
      <c r="AF1840" s="1">
        <v>10065</v>
      </c>
      <c r="AI1840" s="1" t="s">
        <v>156</v>
      </c>
      <c r="AJ1840" s="1">
        <v>1967</v>
      </c>
      <c r="AK1840" s="1" t="s">
        <v>81</v>
      </c>
      <c r="AL1840" s="1">
        <v>113</v>
      </c>
    </row>
    <row r="1841" spans="1:38" x14ac:dyDescent="0.2">
      <c r="A1841" s="2" t="str">
        <f>HYPERLINK("https://www.compass.com/listing/200-east-62nd-street-unit-7a-manhattan-ny-10065/29641191398052017/","200 E 62nd St, Unit 7A")</f>
        <v>200 E 62nd St, Unit 7A</v>
      </c>
      <c r="B1841" s="2" t="str">
        <f t="shared" si="311"/>
        <v>200 E 62</v>
      </c>
      <c r="C1841" s="1" t="s">
        <v>53</v>
      </c>
      <c r="D1841" s="1" t="s">
        <v>41</v>
      </c>
      <c r="E1841" s="3">
        <v>2739500</v>
      </c>
      <c r="F1841" s="1">
        <v>1612.4190700412</v>
      </c>
      <c r="G1841" s="1">
        <v>5</v>
      </c>
      <c r="H1841" s="1">
        <v>2</v>
      </c>
      <c r="I1841" s="1">
        <v>3</v>
      </c>
      <c r="J1841" s="1">
        <v>2.5</v>
      </c>
      <c r="K1841" s="1">
        <v>2</v>
      </c>
      <c r="L1841" s="1">
        <v>1</v>
      </c>
      <c r="M1841" s="4">
        <v>1699</v>
      </c>
      <c r="N1841" s="1">
        <v>1737</v>
      </c>
      <c r="O1841" s="1">
        <v>3838</v>
      </c>
      <c r="P1841" s="1">
        <v>2101</v>
      </c>
      <c r="Q1841" s="1" t="s">
        <v>42</v>
      </c>
      <c r="S1841" s="1" t="s">
        <v>42</v>
      </c>
      <c r="T1841" s="1" t="s">
        <v>203</v>
      </c>
      <c r="U1841" s="1">
        <v>356</v>
      </c>
      <c r="V1841" s="5">
        <v>43650</v>
      </c>
      <c r="W1841" s="5">
        <v>43056</v>
      </c>
      <c r="X1841" s="1">
        <v>2850000</v>
      </c>
      <c r="Y1841" s="1">
        <v>2850000</v>
      </c>
      <c r="Z1841" s="5">
        <v>43412</v>
      </c>
      <c r="AA1841" s="1">
        <v>2739500</v>
      </c>
      <c r="AB1841" s="1" t="s">
        <v>1394</v>
      </c>
      <c r="AC1841" s="5">
        <v>43438</v>
      </c>
      <c r="AF1841" s="1">
        <v>10065</v>
      </c>
      <c r="AI1841" s="1" t="s">
        <v>156</v>
      </c>
      <c r="AJ1841" s="1">
        <v>1967</v>
      </c>
      <c r="AK1841" s="1" t="s">
        <v>81</v>
      </c>
      <c r="AL1841" s="1">
        <v>113</v>
      </c>
    </row>
    <row r="1842" spans="1:38" x14ac:dyDescent="0.2">
      <c r="A1842" s="2" t="str">
        <f>HYPERLINK("https://www.compass.com/listing/200-east-62nd-street-unit-17d-manhattan-ny-10065/20330229306296737/","200 E 62nd St, Unit 17D")</f>
        <v>200 E 62nd St, Unit 17D</v>
      </c>
      <c r="B1842" s="2" t="str">
        <f t="shared" si="311"/>
        <v>200 E 62</v>
      </c>
      <c r="C1842" s="1" t="s">
        <v>53</v>
      </c>
      <c r="D1842" s="1" t="s">
        <v>41</v>
      </c>
      <c r="E1842" s="3">
        <v>3825000</v>
      </c>
      <c r="F1842" s="1">
        <v>1924.0442655935601</v>
      </c>
      <c r="G1842" s="1">
        <v>6.5</v>
      </c>
      <c r="H1842" s="1">
        <v>3</v>
      </c>
      <c r="I1842" s="1">
        <v>3</v>
      </c>
      <c r="J1842" s="1">
        <v>2.5</v>
      </c>
      <c r="K1842" s="1">
        <v>2</v>
      </c>
      <c r="L1842" s="1">
        <v>1</v>
      </c>
      <c r="M1842" s="4">
        <v>1988</v>
      </c>
      <c r="N1842" s="1">
        <v>2229</v>
      </c>
      <c r="O1842" s="1">
        <v>5200</v>
      </c>
      <c r="P1842" s="1">
        <v>2971</v>
      </c>
      <c r="Q1842" s="1" t="s">
        <v>42</v>
      </c>
      <c r="S1842" s="1" t="s">
        <v>42</v>
      </c>
      <c r="T1842" s="1" t="s">
        <v>203</v>
      </c>
      <c r="U1842" s="1">
        <v>140</v>
      </c>
      <c r="V1842" s="5">
        <v>43643</v>
      </c>
      <c r="W1842" s="5">
        <v>43370</v>
      </c>
      <c r="X1842" s="1">
        <v>3985000</v>
      </c>
      <c r="Y1842" s="1">
        <v>3985000</v>
      </c>
      <c r="Z1842" s="5">
        <v>43510</v>
      </c>
      <c r="AA1842" s="1">
        <v>3825000</v>
      </c>
      <c r="AB1842" s="1" t="s">
        <v>1395</v>
      </c>
      <c r="AC1842" s="5">
        <v>43543</v>
      </c>
      <c r="AF1842" s="1">
        <v>10065</v>
      </c>
      <c r="AI1842" s="1" t="s">
        <v>156</v>
      </c>
      <c r="AJ1842" s="1">
        <v>1967</v>
      </c>
      <c r="AK1842" s="1" t="s">
        <v>81</v>
      </c>
      <c r="AL1842" s="1">
        <v>113</v>
      </c>
    </row>
    <row r="1843" spans="1:38" x14ac:dyDescent="0.2">
      <c r="A1843" s="2" t="str">
        <f>HYPERLINK("https://www.compass.com/listing/200-east-62nd-street-unit-23d-manhattan-ny-10065/29413957328445617/","200 E 62nd St, Unit 23D")</f>
        <v>200 E 62nd St, Unit 23D</v>
      </c>
      <c r="B1843" s="2" t="str">
        <f t="shared" si="311"/>
        <v>200 E 62</v>
      </c>
      <c r="C1843" s="1" t="s">
        <v>53</v>
      </c>
      <c r="D1843" s="1" t="s">
        <v>41</v>
      </c>
      <c r="E1843" s="3">
        <v>3182025</v>
      </c>
      <c r="F1843" s="1">
        <v>1841.4496527777701</v>
      </c>
      <c r="G1843" s="1">
        <v>4.5</v>
      </c>
      <c r="H1843" s="1">
        <v>2</v>
      </c>
      <c r="I1843" s="1">
        <v>2</v>
      </c>
      <c r="J1843" s="1">
        <v>2.5</v>
      </c>
      <c r="K1843" s="1">
        <v>2</v>
      </c>
      <c r="L1843" s="1">
        <v>1</v>
      </c>
      <c r="M1843" s="4">
        <v>1728</v>
      </c>
      <c r="N1843" s="1">
        <v>1961</v>
      </c>
      <c r="O1843" s="1">
        <v>4347</v>
      </c>
      <c r="P1843" s="1">
        <v>2386</v>
      </c>
      <c r="Q1843" s="1" t="s">
        <v>42</v>
      </c>
      <c r="S1843" s="1" t="s">
        <v>42</v>
      </c>
      <c r="T1843" s="1" t="s">
        <v>203</v>
      </c>
      <c r="U1843" s="1">
        <v>147</v>
      </c>
      <c r="V1843" s="5">
        <v>43648</v>
      </c>
      <c r="W1843" s="5">
        <v>43034</v>
      </c>
      <c r="X1843" s="1">
        <v>3215000</v>
      </c>
      <c r="Y1843" s="1">
        <v>3215000</v>
      </c>
      <c r="Z1843" s="5">
        <v>43181</v>
      </c>
      <c r="AA1843" s="1">
        <v>3182025</v>
      </c>
      <c r="AB1843" s="1" t="s">
        <v>1396</v>
      </c>
      <c r="AC1843" s="5">
        <v>43241</v>
      </c>
      <c r="AF1843" s="1">
        <v>10065</v>
      </c>
      <c r="AI1843" s="1" t="s">
        <v>156</v>
      </c>
      <c r="AJ1843" s="1">
        <v>1967</v>
      </c>
      <c r="AK1843" s="1" t="s">
        <v>81</v>
      </c>
      <c r="AL1843" s="1">
        <v>113</v>
      </c>
    </row>
    <row r="1844" spans="1:38" x14ac:dyDescent="0.2">
      <c r="A1844" s="2" t="str">
        <f>HYPERLINK("https://www.compass.com/listing/200-east-62nd-street-unit-21b-manhattan-ny-10065/29413955877216417/","200 E 62nd St, Unit 21B")</f>
        <v>200 E 62nd St, Unit 21B</v>
      </c>
      <c r="B1844" s="2" t="str">
        <f t="shared" si="311"/>
        <v>200 E 62</v>
      </c>
      <c r="C1844" s="1" t="s">
        <v>53</v>
      </c>
      <c r="D1844" s="1" t="s">
        <v>41</v>
      </c>
      <c r="E1844" s="3">
        <v>3065000</v>
      </c>
      <c r="F1844" s="1">
        <v>1808.2595870206401</v>
      </c>
      <c r="G1844" s="1">
        <v>5</v>
      </c>
      <c r="H1844" s="1">
        <v>2</v>
      </c>
      <c r="I1844" s="1">
        <v>2</v>
      </c>
      <c r="J1844" s="1">
        <v>2.5</v>
      </c>
      <c r="K1844" s="1">
        <v>2</v>
      </c>
      <c r="L1844" s="1">
        <v>1</v>
      </c>
      <c r="M1844" s="4">
        <v>1695</v>
      </c>
      <c r="N1844" s="1">
        <v>1887</v>
      </c>
      <c r="O1844" s="1">
        <v>3946</v>
      </c>
      <c r="P1844" s="1">
        <v>2059</v>
      </c>
      <c r="Q1844" s="1" t="s">
        <v>42</v>
      </c>
      <c r="S1844" s="1" t="s">
        <v>42</v>
      </c>
      <c r="T1844" s="1" t="s">
        <v>203</v>
      </c>
      <c r="V1844" s="5">
        <v>43649</v>
      </c>
      <c r="W1844" s="5">
        <v>42944</v>
      </c>
      <c r="X1844" s="1">
        <v>3200000</v>
      </c>
      <c r="Y1844" s="1">
        <v>3200000</v>
      </c>
      <c r="Z1844" s="5">
        <v>42944</v>
      </c>
      <c r="AA1844" s="1">
        <v>3065000</v>
      </c>
      <c r="AB1844" s="1" t="s">
        <v>1397</v>
      </c>
      <c r="AC1844" s="5">
        <v>43011</v>
      </c>
      <c r="AF1844" s="1">
        <v>10065</v>
      </c>
      <c r="AI1844" s="1" t="s">
        <v>156</v>
      </c>
      <c r="AJ1844" s="1">
        <v>1967</v>
      </c>
      <c r="AK1844" s="1" t="s">
        <v>81</v>
      </c>
      <c r="AL1844" s="1">
        <v>113</v>
      </c>
    </row>
    <row r="1845" spans="1:38" x14ac:dyDescent="0.2">
      <c r="A1845" s="2" t="str">
        <f>HYPERLINK("https://www.compass.com/listing/164-west-74th-street-unit-5a-manhattan-ny-10023/841543536788431409/","164 W 74th St, Unit 5A")</f>
        <v>164 W 74th St, Unit 5A</v>
      </c>
      <c r="B1845" s="2" t="str">
        <f>HYPERLINK("https://www.compass.com/building/the-marbury-manhattan-ny/282067269712909941/","The Marbury")</f>
        <v>The Marbury</v>
      </c>
      <c r="C1845" s="1" t="s">
        <v>47</v>
      </c>
      <c r="D1845" s="1" t="s">
        <v>41</v>
      </c>
      <c r="E1845" s="3">
        <v>4600000</v>
      </c>
      <c r="F1845" s="1">
        <v>2414.69816272965</v>
      </c>
      <c r="H1845" s="1">
        <v>3</v>
      </c>
      <c r="J1845" s="1">
        <v>2.5</v>
      </c>
      <c r="K1845" s="1">
        <v>2</v>
      </c>
      <c r="L1845" s="1">
        <v>1</v>
      </c>
      <c r="M1845" s="4">
        <v>1905</v>
      </c>
      <c r="N1845" s="1">
        <v>2169.71</v>
      </c>
      <c r="O1845" s="1">
        <v>5289.13</v>
      </c>
      <c r="P1845" s="1">
        <v>3119.4166666666601</v>
      </c>
      <c r="Q1845" s="1" t="s">
        <v>42</v>
      </c>
      <c r="S1845" s="1" t="s">
        <v>42</v>
      </c>
      <c r="T1845" s="1" t="s">
        <v>203</v>
      </c>
      <c r="AA1845" s="1">
        <v>4600000</v>
      </c>
      <c r="AB1845" s="1" t="s">
        <v>1398</v>
      </c>
      <c r="AC1845" s="5">
        <v>44042</v>
      </c>
      <c r="AF1845" s="1">
        <v>10023</v>
      </c>
      <c r="AI1845" s="1" t="s">
        <v>75</v>
      </c>
      <c r="AJ1845" s="1">
        <v>2019</v>
      </c>
      <c r="AK1845" s="1" t="s">
        <v>55</v>
      </c>
      <c r="AL1845" s="1">
        <v>14</v>
      </c>
    </row>
    <row r="1846" spans="1:38" x14ac:dyDescent="0.2">
      <c r="A1846" s="2" t="str">
        <f>HYPERLINK("https://www.compass.com/listing/200-east-62nd-street-unit-30b-manhattan-ny-10065/29517544423503713/","200 E 62nd St, Unit 30B")</f>
        <v>200 E 62nd St, Unit 30B</v>
      </c>
      <c r="B1846" s="2" t="str">
        <f t="shared" ref="B1846:B1852" si="312">HYPERLINK("https://www.compass.com/building/200-e-62-manhattan-ny/282037506914928197/","200 E 62")</f>
        <v>200 E 62</v>
      </c>
      <c r="C1846" s="1" t="s">
        <v>53</v>
      </c>
      <c r="D1846" s="1" t="s">
        <v>41</v>
      </c>
      <c r="E1846" s="3">
        <v>3650000</v>
      </c>
      <c r="F1846" s="1">
        <v>2153.3923303834799</v>
      </c>
      <c r="G1846" s="1">
        <v>4</v>
      </c>
      <c r="H1846" s="1">
        <v>2</v>
      </c>
      <c r="I1846" s="1">
        <v>2</v>
      </c>
      <c r="J1846" s="1">
        <v>2.5</v>
      </c>
      <c r="K1846" s="1">
        <v>2</v>
      </c>
      <c r="L1846" s="1">
        <v>1</v>
      </c>
      <c r="M1846" s="4">
        <v>1695</v>
      </c>
      <c r="N1846" s="1">
        <v>2028</v>
      </c>
      <c r="O1846" s="1">
        <v>4646</v>
      </c>
      <c r="P1846" s="1">
        <v>2618</v>
      </c>
      <c r="Q1846" s="1" t="s">
        <v>42</v>
      </c>
      <c r="S1846" s="1" t="s">
        <v>42</v>
      </c>
      <c r="T1846" s="1" t="s">
        <v>203</v>
      </c>
      <c r="U1846" s="1">
        <v>56</v>
      </c>
      <c r="V1846" s="5">
        <v>43647</v>
      </c>
      <c r="W1846" s="5">
        <v>43201</v>
      </c>
      <c r="X1846" s="1">
        <v>3750000</v>
      </c>
      <c r="Y1846" s="1">
        <v>3750000</v>
      </c>
      <c r="Z1846" s="5">
        <v>43257</v>
      </c>
      <c r="AA1846" s="1">
        <v>3650000</v>
      </c>
      <c r="AB1846" s="1" t="s">
        <v>1399</v>
      </c>
      <c r="AC1846" s="5">
        <v>43291</v>
      </c>
      <c r="AF1846" s="1">
        <v>10065</v>
      </c>
      <c r="AI1846" s="1" t="s">
        <v>156</v>
      </c>
      <c r="AJ1846" s="1">
        <v>1967</v>
      </c>
      <c r="AK1846" s="1" t="s">
        <v>81</v>
      </c>
      <c r="AL1846" s="1">
        <v>113</v>
      </c>
    </row>
    <row r="1847" spans="1:38" x14ac:dyDescent="0.2">
      <c r="A1847" s="2" t="str">
        <f>HYPERLINK("https://www.compass.com/listing/200-east-62nd-street-unit-22d-manhattan-ny-10065/29413956892240833/","200 E 62nd St, Unit 22D")</f>
        <v>200 E 62nd St, Unit 22D</v>
      </c>
      <c r="B1847" s="2" t="str">
        <f t="shared" si="312"/>
        <v>200 E 62</v>
      </c>
      <c r="C1847" s="1" t="s">
        <v>53</v>
      </c>
      <c r="D1847" s="1" t="s">
        <v>41</v>
      </c>
      <c r="E1847" s="3">
        <v>3225000</v>
      </c>
      <c r="F1847" s="1">
        <v>1848.1375358166099</v>
      </c>
      <c r="G1847" s="1">
        <v>4</v>
      </c>
      <c r="H1847" s="1">
        <v>3</v>
      </c>
      <c r="I1847" s="1">
        <v>2</v>
      </c>
      <c r="J1847" s="1">
        <v>2</v>
      </c>
      <c r="K1847" s="1">
        <v>2</v>
      </c>
      <c r="M1847" s="4">
        <v>1745</v>
      </c>
      <c r="N1847" s="1">
        <v>1947</v>
      </c>
      <c r="O1847" s="1">
        <v>4072</v>
      </c>
      <c r="P1847" s="1">
        <v>2125</v>
      </c>
      <c r="Q1847" s="1" t="s">
        <v>42</v>
      </c>
      <c r="S1847" s="1" t="s">
        <v>42</v>
      </c>
      <c r="T1847" s="1" t="s">
        <v>203</v>
      </c>
      <c r="V1847" s="5">
        <v>43664</v>
      </c>
      <c r="W1847" s="5">
        <v>42692</v>
      </c>
      <c r="X1847" s="1">
        <v>3330000</v>
      </c>
      <c r="Y1847" s="1">
        <v>3330000</v>
      </c>
      <c r="Z1847" s="5">
        <v>42692</v>
      </c>
      <c r="AA1847" s="1">
        <v>3225000</v>
      </c>
      <c r="AB1847" s="1" t="s">
        <v>1400</v>
      </c>
      <c r="AC1847" s="5">
        <v>42779</v>
      </c>
      <c r="AF1847" s="1">
        <v>10065</v>
      </c>
      <c r="AI1847" s="1" t="s">
        <v>156</v>
      </c>
      <c r="AJ1847" s="1">
        <v>1967</v>
      </c>
      <c r="AK1847" s="1" t="s">
        <v>81</v>
      </c>
      <c r="AL1847" s="1">
        <v>113</v>
      </c>
    </row>
    <row r="1848" spans="1:38" x14ac:dyDescent="0.2">
      <c r="A1848" s="2" t="str">
        <f>HYPERLINK("https://www.compass.com/listing/200-east-62nd-street-unit-18b-manhattan-ny-10065/4796607574650658305/","200 E 62nd St, Unit 18B")</f>
        <v>200 E 62nd St, Unit 18B</v>
      </c>
      <c r="B1848" s="2" t="str">
        <f t="shared" si="312"/>
        <v>200 E 62</v>
      </c>
      <c r="C1848" s="1" t="s">
        <v>53</v>
      </c>
      <c r="D1848" s="1" t="s">
        <v>41</v>
      </c>
      <c r="E1848" s="3">
        <v>3075000</v>
      </c>
      <c r="F1848" s="1">
        <v>1814.1592920353901</v>
      </c>
      <c r="G1848" s="1">
        <v>5.5</v>
      </c>
      <c r="H1848" s="1">
        <v>2</v>
      </c>
      <c r="I1848" s="1">
        <v>2</v>
      </c>
      <c r="J1848" s="1">
        <v>2.5</v>
      </c>
      <c r="K1848" s="1">
        <v>2</v>
      </c>
      <c r="L1848" s="1">
        <v>1</v>
      </c>
      <c r="M1848" s="4">
        <v>1695</v>
      </c>
      <c r="N1848" s="1">
        <v>1844</v>
      </c>
      <c r="O1848" s="1">
        <v>3857</v>
      </c>
      <c r="P1848" s="1">
        <v>2013</v>
      </c>
      <c r="Q1848" s="1" t="s">
        <v>42</v>
      </c>
      <c r="S1848" s="1" t="s">
        <v>42</v>
      </c>
      <c r="T1848" s="1" t="s">
        <v>203</v>
      </c>
      <c r="V1848" s="5">
        <v>43635</v>
      </c>
      <c r="W1848" s="5">
        <v>43019</v>
      </c>
      <c r="X1848" s="1">
        <v>3100000</v>
      </c>
      <c r="Y1848" s="1">
        <v>3100000</v>
      </c>
      <c r="Z1848" s="5">
        <v>43019</v>
      </c>
      <c r="AA1848" s="1">
        <v>3075000</v>
      </c>
      <c r="AB1848" s="1" t="s">
        <v>1401</v>
      </c>
      <c r="AC1848" s="5">
        <v>43132</v>
      </c>
      <c r="AF1848" s="1">
        <v>10065</v>
      </c>
      <c r="AI1848" s="1" t="s">
        <v>156</v>
      </c>
      <c r="AJ1848" s="1">
        <v>1967</v>
      </c>
      <c r="AK1848" s="1" t="s">
        <v>81</v>
      </c>
      <c r="AL1848" s="1">
        <v>113</v>
      </c>
    </row>
    <row r="1849" spans="1:38" x14ac:dyDescent="0.2">
      <c r="A1849" s="2" t="str">
        <f>HYPERLINK("https://www.compass.com/listing/200-east-62nd-street-unit-14a-manhattan-ny-10065/29413951548697473/","200 E 62nd St, Unit 14A")</f>
        <v>200 E 62nd St, Unit 14A</v>
      </c>
      <c r="B1849" s="2" t="str">
        <f t="shared" si="312"/>
        <v>200 E 62</v>
      </c>
      <c r="C1849" s="1" t="s">
        <v>53</v>
      </c>
      <c r="D1849" s="1" t="s">
        <v>41</v>
      </c>
      <c r="E1849" s="3">
        <v>3100000</v>
      </c>
      <c r="F1849" s="1">
        <v>1835.40556542332</v>
      </c>
      <c r="G1849" s="1">
        <v>4</v>
      </c>
      <c r="H1849" s="1">
        <v>2</v>
      </c>
      <c r="I1849" s="1">
        <v>2</v>
      </c>
      <c r="J1849" s="1">
        <v>2</v>
      </c>
      <c r="K1849" s="1">
        <v>2</v>
      </c>
      <c r="M1849" s="4">
        <v>1689</v>
      </c>
      <c r="N1849" s="1">
        <v>1873</v>
      </c>
      <c r="O1849" s="1">
        <v>3918</v>
      </c>
      <c r="P1849" s="1">
        <v>2045</v>
      </c>
      <c r="Q1849" s="1" t="s">
        <v>42</v>
      </c>
      <c r="S1849" s="1" t="s">
        <v>42</v>
      </c>
      <c r="T1849" s="1" t="s">
        <v>203</v>
      </c>
      <c r="V1849" s="5">
        <v>42790</v>
      </c>
      <c r="W1849" s="5">
        <v>42755</v>
      </c>
      <c r="X1849" s="1">
        <v>3100000</v>
      </c>
      <c r="Y1849" s="1">
        <v>3100000</v>
      </c>
      <c r="Z1849" s="5">
        <v>42756</v>
      </c>
      <c r="AA1849" s="1">
        <v>3100000</v>
      </c>
      <c r="AB1849" s="1" t="s">
        <v>1402</v>
      </c>
      <c r="AC1849" s="5">
        <v>42776</v>
      </c>
      <c r="AF1849" s="1">
        <v>10065</v>
      </c>
      <c r="AI1849" s="1" t="s">
        <v>156</v>
      </c>
      <c r="AJ1849" s="1">
        <v>1967</v>
      </c>
      <c r="AK1849" s="1" t="s">
        <v>81</v>
      </c>
      <c r="AL1849" s="1">
        <v>113</v>
      </c>
    </row>
    <row r="1850" spans="1:38" x14ac:dyDescent="0.2">
      <c r="A1850" s="2" t="str">
        <f>HYPERLINK("https://www.compass.com/listing/200-east-62nd-street-unit-24b-manhattan-ny-10065/29413958125366225/","200 E 62nd St, Unit 24B")</f>
        <v>200 E 62nd St, Unit 24B</v>
      </c>
      <c r="B1850" s="2" t="str">
        <f t="shared" si="312"/>
        <v>200 E 62</v>
      </c>
      <c r="C1850" s="1" t="s">
        <v>53</v>
      </c>
      <c r="D1850" s="1" t="s">
        <v>41</v>
      </c>
      <c r="E1850" s="3">
        <v>3400000</v>
      </c>
      <c r="F1850" s="1">
        <v>2005.89970501474</v>
      </c>
      <c r="G1850" s="1">
        <v>4</v>
      </c>
      <c r="H1850" s="1">
        <v>2</v>
      </c>
      <c r="I1850" s="1">
        <v>2</v>
      </c>
      <c r="J1850" s="1">
        <v>2.5</v>
      </c>
      <c r="K1850" s="1">
        <v>2</v>
      </c>
      <c r="L1850" s="1">
        <v>1</v>
      </c>
      <c r="M1850" s="4">
        <v>1695</v>
      </c>
      <c r="N1850" s="1">
        <v>1929</v>
      </c>
      <c r="O1850" s="1">
        <v>4034</v>
      </c>
      <c r="P1850" s="1">
        <v>2105</v>
      </c>
      <c r="Q1850" s="1" t="s">
        <v>42</v>
      </c>
      <c r="S1850" s="1" t="s">
        <v>42</v>
      </c>
      <c r="T1850" s="1" t="s">
        <v>203</v>
      </c>
      <c r="V1850" s="5">
        <v>43650</v>
      </c>
      <c r="W1850" s="5">
        <v>42909</v>
      </c>
      <c r="X1850" s="1">
        <v>3545000</v>
      </c>
      <c r="Y1850" s="1">
        <v>3545000</v>
      </c>
      <c r="Z1850" s="5">
        <v>42909</v>
      </c>
      <c r="AA1850" s="1">
        <v>3400000</v>
      </c>
      <c r="AB1850" s="1" t="s">
        <v>1403</v>
      </c>
      <c r="AC1850" s="5">
        <v>42954</v>
      </c>
      <c r="AF1850" s="1">
        <v>10065</v>
      </c>
      <c r="AI1850" s="1" t="s">
        <v>156</v>
      </c>
      <c r="AJ1850" s="1">
        <v>1967</v>
      </c>
      <c r="AK1850" s="1" t="s">
        <v>81</v>
      </c>
      <c r="AL1850" s="1">
        <v>113</v>
      </c>
    </row>
    <row r="1851" spans="1:38" x14ac:dyDescent="0.2">
      <c r="A1851" s="2" t="str">
        <f>HYPERLINK("https://www.compass.com/listing/200-east-62nd-street-unit-25a-manhattan-ny-10065/29413958569959617/","200 E 62nd St, Unit 25A")</f>
        <v>200 E 62nd St, Unit 25A</v>
      </c>
      <c r="B1851" s="2" t="str">
        <f t="shared" si="312"/>
        <v>200 E 62</v>
      </c>
      <c r="C1851" s="1" t="s">
        <v>53</v>
      </c>
      <c r="D1851" s="1" t="s">
        <v>41</v>
      </c>
      <c r="E1851" s="3">
        <v>3298000</v>
      </c>
      <c r="F1851" s="1">
        <v>1952.6346950858399</v>
      </c>
      <c r="G1851" s="1">
        <v>4</v>
      </c>
      <c r="H1851" s="1">
        <v>2</v>
      </c>
      <c r="I1851" s="1">
        <v>2</v>
      </c>
      <c r="J1851" s="1">
        <v>2</v>
      </c>
      <c r="K1851" s="1">
        <v>2</v>
      </c>
      <c r="M1851" s="4">
        <v>1689</v>
      </c>
      <c r="N1851" s="1">
        <v>2024</v>
      </c>
      <c r="O1851" s="1">
        <v>4234</v>
      </c>
      <c r="P1851" s="1">
        <v>2210</v>
      </c>
      <c r="Q1851" s="1" t="s">
        <v>42</v>
      </c>
      <c r="S1851" s="1" t="s">
        <v>42</v>
      </c>
      <c r="T1851" s="1" t="s">
        <v>203</v>
      </c>
      <c r="V1851" s="5">
        <v>43635</v>
      </c>
      <c r="W1851" s="5">
        <v>42348</v>
      </c>
      <c r="X1851" s="1">
        <v>3895000</v>
      </c>
      <c r="Y1851" s="1">
        <v>3895000</v>
      </c>
      <c r="Z1851" s="5">
        <v>42348</v>
      </c>
      <c r="AA1851" s="1">
        <v>3298000</v>
      </c>
      <c r="AB1851" s="1" t="s">
        <v>1404</v>
      </c>
      <c r="AC1851" s="5">
        <v>42443</v>
      </c>
      <c r="AF1851" s="1">
        <v>10065</v>
      </c>
      <c r="AI1851" s="1" t="s">
        <v>156</v>
      </c>
      <c r="AJ1851" s="1">
        <v>1967</v>
      </c>
      <c r="AK1851" s="1" t="s">
        <v>81</v>
      </c>
      <c r="AL1851" s="1">
        <v>113</v>
      </c>
    </row>
    <row r="1852" spans="1:38" x14ac:dyDescent="0.2">
      <c r="A1852" s="2" t="str">
        <f>HYPERLINK("https://www.compass.com/listing/200-east-62nd-street-unit-25b-manhattan-ny-10065/29413958972698801/","200 E 62nd St, Unit 25B")</f>
        <v>200 E 62nd St, Unit 25B</v>
      </c>
      <c r="B1852" s="2" t="str">
        <f t="shared" si="312"/>
        <v>200 E 62</v>
      </c>
      <c r="C1852" s="1" t="s">
        <v>53</v>
      </c>
      <c r="D1852" s="1" t="s">
        <v>41</v>
      </c>
      <c r="E1852" s="3">
        <v>3310750</v>
      </c>
      <c r="F1852" s="1">
        <v>1953.24483775811</v>
      </c>
      <c r="G1852" s="1">
        <v>4</v>
      </c>
      <c r="H1852" s="1">
        <v>2</v>
      </c>
      <c r="I1852" s="1">
        <v>2</v>
      </c>
      <c r="J1852" s="1">
        <v>2.5</v>
      </c>
      <c r="K1852" s="1">
        <v>2</v>
      </c>
      <c r="L1852" s="1">
        <v>1</v>
      </c>
      <c r="M1852" s="4">
        <v>1695</v>
      </c>
      <c r="N1852" s="1">
        <v>1957</v>
      </c>
      <c r="O1852" s="1">
        <v>4093</v>
      </c>
      <c r="P1852" s="1">
        <v>2136</v>
      </c>
      <c r="Q1852" s="1" t="s">
        <v>42</v>
      </c>
      <c r="S1852" s="1" t="s">
        <v>42</v>
      </c>
      <c r="T1852" s="1" t="s">
        <v>203</v>
      </c>
      <c r="V1852" s="5">
        <v>43654</v>
      </c>
      <c r="W1852" s="5">
        <v>42350</v>
      </c>
      <c r="X1852" s="1">
        <v>3895000</v>
      </c>
      <c r="Y1852" s="1">
        <v>3895000</v>
      </c>
      <c r="Z1852" s="5">
        <v>42350</v>
      </c>
      <c r="AA1852" s="1">
        <v>3310750</v>
      </c>
      <c r="AB1852" s="1" t="s">
        <v>1405</v>
      </c>
      <c r="AC1852" s="5">
        <v>42443</v>
      </c>
      <c r="AF1852" s="1">
        <v>10065</v>
      </c>
      <c r="AI1852" s="1" t="s">
        <v>156</v>
      </c>
      <c r="AJ1852" s="1">
        <v>1967</v>
      </c>
      <c r="AK1852" s="1" t="s">
        <v>81</v>
      </c>
      <c r="AL1852" s="1">
        <v>113</v>
      </c>
    </row>
    <row r="1853" spans="1:38" x14ac:dyDescent="0.2">
      <c r="A1853" s="2" t="str">
        <f>HYPERLINK("https://www.compass.com/listing/520-west-45th-street-unit-1a-manhattan-ny-10036/29389762603378705/","520 W 45th St, Unit 1A")</f>
        <v>520 W 45th St, Unit 1A</v>
      </c>
      <c r="B1853" s="2" t="str">
        <f>HYPERLINK("https://www.compass.com/building/inkwell-manhattan-ny/282026081983148485/","Inkwell")</f>
        <v>Inkwell</v>
      </c>
      <c r="C1853" s="1" t="s">
        <v>57</v>
      </c>
      <c r="D1853" s="1" t="s">
        <v>41</v>
      </c>
      <c r="E1853" s="3">
        <v>2700000</v>
      </c>
      <c r="F1853" s="1">
        <v>1420.3051025775901</v>
      </c>
      <c r="G1853" s="1">
        <v>5</v>
      </c>
      <c r="H1853" s="1">
        <v>3</v>
      </c>
      <c r="I1853" s="1">
        <v>3</v>
      </c>
      <c r="J1853" s="1">
        <v>3</v>
      </c>
      <c r="M1853" s="4">
        <v>1901</v>
      </c>
      <c r="N1853" s="1">
        <v>2724</v>
      </c>
      <c r="O1853" s="1">
        <v>5131</v>
      </c>
      <c r="P1853" s="1">
        <v>2407</v>
      </c>
      <c r="Q1853" s="1" t="s">
        <v>42</v>
      </c>
      <c r="S1853" s="1" t="s">
        <v>42</v>
      </c>
      <c r="T1853" s="1" t="s">
        <v>203</v>
      </c>
      <c r="U1853" s="1">
        <v>14</v>
      </c>
      <c r="V1853" s="5">
        <v>43240</v>
      </c>
      <c r="W1853" s="5">
        <v>42509</v>
      </c>
      <c r="X1853" s="1">
        <v>2800000</v>
      </c>
      <c r="Y1853" s="1">
        <v>2800000</v>
      </c>
      <c r="AA1853" s="1">
        <v>2700000</v>
      </c>
      <c r="AB1853" s="1" t="s">
        <v>1375</v>
      </c>
      <c r="AC1853" s="5">
        <v>43080</v>
      </c>
      <c r="AF1853" s="1">
        <v>10036</v>
      </c>
      <c r="AI1853" s="1" t="s">
        <v>67</v>
      </c>
      <c r="AJ1853" s="1">
        <v>1905</v>
      </c>
      <c r="AK1853" s="1" t="s">
        <v>137</v>
      </c>
      <c r="AL1853" s="1">
        <v>18</v>
      </c>
    </row>
    <row r="1854" spans="1:38" x14ac:dyDescent="0.2">
      <c r="A1854" s="2" t="str">
        <f>HYPERLINK("https://www.compass.com/listing/200-east-62nd-street-unit-12d-manhattan-ny-10065/29413951146127425/","200 E 62nd St, Unit 12D")</f>
        <v>200 E 62nd St, Unit 12D</v>
      </c>
      <c r="B1854" s="2" t="str">
        <f t="shared" ref="B1854:B1859" si="313">HYPERLINK("https://www.compass.com/building/200-e-62-manhattan-ny/282037506914928197/","200 E 62")</f>
        <v>200 E 62</v>
      </c>
      <c r="C1854" s="1" t="s">
        <v>53</v>
      </c>
      <c r="D1854" s="1" t="s">
        <v>41</v>
      </c>
      <c r="E1854" s="3">
        <v>4076800</v>
      </c>
      <c r="F1854" s="1">
        <v>2050.7042253521099</v>
      </c>
      <c r="G1854" s="1">
        <v>5.5</v>
      </c>
      <c r="H1854" s="1">
        <v>3</v>
      </c>
      <c r="I1854" s="1">
        <v>2</v>
      </c>
      <c r="J1854" s="1">
        <v>2</v>
      </c>
      <c r="K1854" s="1">
        <v>2</v>
      </c>
      <c r="M1854" s="4">
        <v>1988</v>
      </c>
      <c r="N1854" s="1">
        <v>2145</v>
      </c>
      <c r="O1854" s="1">
        <v>4486</v>
      </c>
      <c r="P1854" s="1">
        <v>2341</v>
      </c>
      <c r="Q1854" s="1" t="s">
        <v>42</v>
      </c>
      <c r="S1854" s="1" t="s">
        <v>42</v>
      </c>
      <c r="T1854" s="1" t="s">
        <v>203</v>
      </c>
      <c r="U1854" s="1">
        <v>232</v>
      </c>
      <c r="V1854" s="5">
        <v>43642</v>
      </c>
      <c r="W1854" s="5">
        <v>42199</v>
      </c>
      <c r="X1854" s="1">
        <v>4160000</v>
      </c>
      <c r="Y1854" s="1">
        <v>4160000</v>
      </c>
      <c r="Z1854" s="5">
        <v>42431</v>
      </c>
      <c r="AA1854" s="1">
        <v>4076800</v>
      </c>
      <c r="AB1854" s="1" t="s">
        <v>1406</v>
      </c>
      <c r="AC1854" s="5">
        <v>42535</v>
      </c>
      <c r="AF1854" s="1">
        <v>10065</v>
      </c>
      <c r="AI1854" s="1" t="s">
        <v>156</v>
      </c>
      <c r="AJ1854" s="1">
        <v>1967</v>
      </c>
      <c r="AK1854" s="1" t="s">
        <v>81</v>
      </c>
      <c r="AL1854" s="1">
        <v>113</v>
      </c>
    </row>
    <row r="1855" spans="1:38" x14ac:dyDescent="0.2">
      <c r="A1855" s="2" t="str">
        <f>HYPERLINK("https://www.compass.com/listing/200-east-62nd-street-unit-15c-manhattan-ny-10065/483924526911121753/","200 E 62nd St, Unit 15C")</f>
        <v>200 E 62nd St, Unit 15C</v>
      </c>
      <c r="B1855" s="2" t="str">
        <f t="shared" si="313"/>
        <v>200 E 62</v>
      </c>
      <c r="C1855" s="1" t="s">
        <v>53</v>
      </c>
      <c r="D1855" s="1" t="s">
        <v>41</v>
      </c>
      <c r="E1855" s="3">
        <v>6721805</v>
      </c>
      <c r="F1855" s="1">
        <v>5814.7103806228297</v>
      </c>
      <c r="H1855" s="1">
        <v>1</v>
      </c>
      <c r="J1855" s="1">
        <v>1</v>
      </c>
      <c r="K1855" s="1">
        <v>1</v>
      </c>
      <c r="M1855" s="4">
        <v>1156</v>
      </c>
      <c r="N1855" s="1">
        <v>1290</v>
      </c>
      <c r="O1855" s="1">
        <v>2698</v>
      </c>
      <c r="P1855" s="1">
        <v>1408</v>
      </c>
      <c r="Q1855" s="1" t="s">
        <v>42</v>
      </c>
      <c r="S1855" s="1" t="s">
        <v>42</v>
      </c>
      <c r="T1855" s="1" t="s">
        <v>203</v>
      </c>
      <c r="AA1855" s="1">
        <v>6721805.2000000002</v>
      </c>
      <c r="AB1855" s="1" t="s">
        <v>1407</v>
      </c>
      <c r="AC1855" s="5">
        <v>42558</v>
      </c>
      <c r="AF1855" s="1">
        <v>10065</v>
      </c>
      <c r="AI1855" s="1" t="s">
        <v>156</v>
      </c>
      <c r="AJ1855" s="1">
        <v>1967</v>
      </c>
      <c r="AK1855" s="1" t="s">
        <v>50</v>
      </c>
      <c r="AL1855" s="1">
        <v>113</v>
      </c>
    </row>
    <row r="1856" spans="1:38" x14ac:dyDescent="0.2">
      <c r="A1856" s="2" t="str">
        <f>HYPERLINK("https://www.compass.com/listing/200-east-62nd-street-unit-22a-manhattan-ny-10065/29413956338675857/","200 E 62nd St, Unit 22A")</f>
        <v>200 E 62nd St, Unit 22A</v>
      </c>
      <c r="B1856" s="2" t="str">
        <f t="shared" si="313"/>
        <v>200 E 62</v>
      </c>
      <c r="C1856" s="1" t="s">
        <v>53</v>
      </c>
      <c r="D1856" s="1" t="s">
        <v>41</v>
      </c>
      <c r="E1856" s="3">
        <v>3268074</v>
      </c>
      <c r="F1856" s="1">
        <v>1934.91637063351</v>
      </c>
      <c r="G1856" s="1">
        <v>5</v>
      </c>
      <c r="H1856" s="1">
        <v>2</v>
      </c>
      <c r="I1856" s="1">
        <v>2</v>
      </c>
      <c r="J1856" s="1">
        <v>2.5</v>
      </c>
      <c r="K1856" s="1">
        <v>2</v>
      </c>
      <c r="L1856" s="1">
        <v>1</v>
      </c>
      <c r="M1856" s="4">
        <v>1689</v>
      </c>
      <c r="N1856" s="1">
        <v>1926</v>
      </c>
      <c r="O1856" s="1">
        <v>4028</v>
      </c>
      <c r="P1856" s="1">
        <v>2102</v>
      </c>
      <c r="Q1856" s="1" t="s">
        <v>42</v>
      </c>
      <c r="S1856" s="1" t="s">
        <v>42</v>
      </c>
      <c r="T1856" s="1" t="s">
        <v>203</v>
      </c>
      <c r="V1856" s="5">
        <v>43042</v>
      </c>
      <c r="W1856" s="5">
        <v>42998</v>
      </c>
      <c r="X1856" s="1">
        <v>3275000</v>
      </c>
      <c r="Y1856" s="1">
        <v>3275000</v>
      </c>
      <c r="Z1856" s="5">
        <v>42998</v>
      </c>
      <c r="AA1856" s="1">
        <v>3268073.75</v>
      </c>
      <c r="AB1856" s="1" t="s">
        <v>1408</v>
      </c>
      <c r="AC1856" s="5">
        <v>43033</v>
      </c>
      <c r="AF1856" s="1">
        <v>10065</v>
      </c>
      <c r="AI1856" s="1" t="s">
        <v>156</v>
      </c>
      <c r="AJ1856" s="1">
        <v>1967</v>
      </c>
      <c r="AK1856" s="1" t="s">
        <v>81</v>
      </c>
      <c r="AL1856" s="1">
        <v>113</v>
      </c>
    </row>
    <row r="1857" spans="1:38" x14ac:dyDescent="0.2">
      <c r="A1857" s="2" t="str">
        <f>HYPERLINK("https://www.compass.com/listing/200-east-62nd-street-unit-30a-manhattan-ny-10065/29413961052987617/","200 E 62nd St, Unit 30A")</f>
        <v>200 E 62nd St, Unit 30A</v>
      </c>
      <c r="B1857" s="2" t="str">
        <f t="shared" si="313"/>
        <v>200 E 62</v>
      </c>
      <c r="C1857" s="1" t="s">
        <v>53</v>
      </c>
      <c r="D1857" s="1" t="s">
        <v>41</v>
      </c>
      <c r="E1857" s="3">
        <v>3591240</v>
      </c>
      <c r="F1857" s="1">
        <v>2126.2522202486598</v>
      </c>
      <c r="G1857" s="1">
        <v>4</v>
      </c>
      <c r="H1857" s="1">
        <v>2</v>
      </c>
      <c r="I1857" s="1">
        <v>2</v>
      </c>
      <c r="J1857" s="1">
        <v>2.5</v>
      </c>
      <c r="K1857" s="1">
        <v>2</v>
      </c>
      <c r="L1857" s="1">
        <v>1</v>
      </c>
      <c r="M1857" s="4">
        <v>1689</v>
      </c>
      <c r="N1857" s="1">
        <v>2095</v>
      </c>
      <c r="O1857" s="1">
        <v>4382</v>
      </c>
      <c r="P1857" s="1">
        <v>2287</v>
      </c>
      <c r="Q1857" s="1" t="s">
        <v>42</v>
      </c>
      <c r="S1857" s="1" t="s">
        <v>42</v>
      </c>
      <c r="T1857" s="1" t="s">
        <v>203</v>
      </c>
      <c r="V1857" s="5">
        <v>43635</v>
      </c>
      <c r="W1857" s="5">
        <v>42304</v>
      </c>
      <c r="X1857" s="1">
        <v>4275000</v>
      </c>
      <c r="Y1857" s="1">
        <v>4275000</v>
      </c>
      <c r="Z1857" s="5">
        <v>42304</v>
      </c>
      <c r="AA1857" s="1">
        <v>3591240</v>
      </c>
      <c r="AB1857" s="1" t="s">
        <v>1409</v>
      </c>
      <c r="AC1857" s="5">
        <v>42412</v>
      </c>
      <c r="AF1857" s="1">
        <v>10065</v>
      </c>
      <c r="AI1857" s="1" t="s">
        <v>156</v>
      </c>
      <c r="AJ1857" s="1">
        <v>1967</v>
      </c>
      <c r="AK1857" s="1" t="s">
        <v>81</v>
      </c>
      <c r="AL1857" s="1">
        <v>113</v>
      </c>
    </row>
    <row r="1858" spans="1:38" x14ac:dyDescent="0.2">
      <c r="A1858" s="2" t="str">
        <f>HYPERLINK("https://www.compass.com/listing/200-east-62nd-street-unit-11c-manhattan-ny-10065/483924514175488393/","200 E 62nd St, Unit 11C")</f>
        <v>200 E 62nd St, Unit 11C</v>
      </c>
      <c r="B1858" s="2" t="str">
        <f t="shared" si="313"/>
        <v>200 E 62</v>
      </c>
      <c r="C1858" s="1" t="s">
        <v>53</v>
      </c>
      <c r="D1858" s="1" t="s">
        <v>41</v>
      </c>
      <c r="E1858" s="3">
        <v>1200000</v>
      </c>
      <c r="F1858" s="1">
        <v>1041.6666666666599</v>
      </c>
      <c r="H1858" s="1">
        <v>1</v>
      </c>
      <c r="J1858" s="1">
        <v>1.5</v>
      </c>
      <c r="K1858" s="1">
        <v>1</v>
      </c>
      <c r="L1858" s="1">
        <v>1</v>
      </c>
      <c r="M1858" s="4">
        <v>1152</v>
      </c>
      <c r="N1858" s="1">
        <v>1239</v>
      </c>
      <c r="O1858" s="1">
        <v>2591</v>
      </c>
      <c r="P1858" s="1">
        <v>1352</v>
      </c>
      <c r="Q1858" s="1" t="s">
        <v>42</v>
      </c>
      <c r="S1858" s="1" t="s">
        <v>42</v>
      </c>
      <c r="T1858" s="1" t="s">
        <v>203</v>
      </c>
      <c r="AA1858" s="1">
        <v>1200000</v>
      </c>
      <c r="AB1858" s="1" t="s">
        <v>1410</v>
      </c>
      <c r="AC1858" s="5">
        <v>43147</v>
      </c>
      <c r="AF1858" s="1">
        <v>10065</v>
      </c>
      <c r="AI1858" s="1" t="s">
        <v>156</v>
      </c>
      <c r="AJ1858" s="1">
        <v>1967</v>
      </c>
      <c r="AK1858" s="1" t="s">
        <v>50</v>
      </c>
      <c r="AL1858" s="1">
        <v>113</v>
      </c>
    </row>
    <row r="1859" spans="1:38" x14ac:dyDescent="0.2">
      <c r="A1859" s="2" t="str">
        <f>HYPERLINK("https://www.compass.com/listing/200-east-62nd-street-unit-26d-manhattan-ny-10065/29413959786307793/","200 E 62nd St, Unit 26D")</f>
        <v>200 E 62nd St, Unit 26D</v>
      </c>
      <c r="B1859" s="2" t="str">
        <f t="shared" si="313"/>
        <v>200 E 62</v>
      </c>
      <c r="C1859" s="1" t="s">
        <v>53</v>
      </c>
      <c r="D1859" s="1" t="s">
        <v>41</v>
      </c>
      <c r="E1859" s="3">
        <v>3715000</v>
      </c>
      <c r="F1859" s="1">
        <v>2137.5143843498199</v>
      </c>
      <c r="G1859" s="1">
        <v>5</v>
      </c>
      <c r="H1859" s="1">
        <v>2</v>
      </c>
      <c r="I1859" s="1">
        <v>2</v>
      </c>
      <c r="J1859" s="1">
        <v>2.5</v>
      </c>
      <c r="K1859" s="1">
        <v>2</v>
      </c>
      <c r="L1859" s="1">
        <v>1</v>
      </c>
      <c r="M1859" s="4">
        <v>1738</v>
      </c>
      <c r="N1859" s="1">
        <v>2066</v>
      </c>
      <c r="O1859" s="1">
        <v>4321</v>
      </c>
      <c r="P1859" s="1">
        <v>2255</v>
      </c>
      <c r="Q1859" s="1" t="s">
        <v>42</v>
      </c>
      <c r="S1859" s="1" t="s">
        <v>42</v>
      </c>
      <c r="T1859" s="1" t="s">
        <v>203</v>
      </c>
      <c r="U1859" s="1">
        <v>146</v>
      </c>
      <c r="V1859" s="5">
        <v>43635</v>
      </c>
      <c r="W1859" s="5">
        <v>42200</v>
      </c>
      <c r="X1859" s="1">
        <v>3715000</v>
      </c>
      <c r="Y1859" s="1">
        <v>3715000</v>
      </c>
      <c r="Z1859" s="5">
        <v>42346</v>
      </c>
      <c r="AA1859" s="1">
        <v>3715000</v>
      </c>
      <c r="AB1859" s="1" t="s">
        <v>1411</v>
      </c>
      <c r="AC1859" s="5">
        <v>42443</v>
      </c>
      <c r="AF1859" s="1">
        <v>10065</v>
      </c>
      <c r="AI1859" s="1" t="s">
        <v>156</v>
      </c>
      <c r="AJ1859" s="1">
        <v>1967</v>
      </c>
      <c r="AK1859" s="1" t="s">
        <v>81</v>
      </c>
      <c r="AL1859" s="1">
        <v>113</v>
      </c>
    </row>
    <row r="1860" spans="1:38" x14ac:dyDescent="0.2">
      <c r="A1860" s="2" t="str">
        <f>HYPERLINK("https://www.compass.com/listing/40-east-end-avenue-unit-5b-manhattan-ny-10028/104336216421363601/","40 E End Ave, Unit 5B")</f>
        <v>40 E End Ave, Unit 5B</v>
      </c>
      <c r="B1860" s="2" t="str">
        <f>HYPERLINK("https://www.compass.com/building/40-e-end-ave-manhattan-ny-10028/281986569399806037/","40 E End Ave")</f>
        <v>40 E End Ave</v>
      </c>
      <c r="C1860" s="1" t="s">
        <v>53</v>
      </c>
      <c r="D1860" s="1" t="s">
        <v>41</v>
      </c>
      <c r="E1860" s="3">
        <v>3222242</v>
      </c>
      <c r="F1860" s="1">
        <v>2189.0230570652102</v>
      </c>
      <c r="G1860" s="1">
        <v>4</v>
      </c>
      <c r="H1860" s="1">
        <v>2</v>
      </c>
      <c r="I1860" s="1">
        <v>3</v>
      </c>
      <c r="J1860" s="1">
        <v>2.5</v>
      </c>
      <c r="K1860" s="1">
        <v>2</v>
      </c>
      <c r="L1860" s="1">
        <v>1</v>
      </c>
      <c r="M1860" s="4">
        <v>1472</v>
      </c>
      <c r="N1860" s="1">
        <v>1495</v>
      </c>
      <c r="O1860" s="1">
        <v>2847</v>
      </c>
      <c r="P1860" s="1">
        <v>1352</v>
      </c>
      <c r="Q1860" s="1" t="s">
        <v>42</v>
      </c>
      <c r="S1860" s="1" t="s">
        <v>42</v>
      </c>
      <c r="T1860" s="1" t="s">
        <v>203</v>
      </c>
      <c r="U1860" s="1">
        <v>133</v>
      </c>
      <c r="V1860" s="5">
        <v>43805</v>
      </c>
      <c r="W1860" s="5">
        <v>43384</v>
      </c>
      <c r="X1860" s="1">
        <v>3160990</v>
      </c>
      <c r="AB1860" s="1" t="s">
        <v>204</v>
      </c>
      <c r="AF1860" s="1">
        <v>10028</v>
      </c>
      <c r="AJ1860" s="1">
        <v>2019</v>
      </c>
      <c r="AK1860" s="1" t="s">
        <v>81</v>
      </c>
      <c r="AL1860" s="1">
        <v>29</v>
      </c>
    </row>
    <row r="1861" spans="1:38" x14ac:dyDescent="0.2">
      <c r="A1861" s="2" t="str">
        <f>HYPERLINK("https://www.compass.com/listing/200-east-62nd-street-unit-8a-manhattan-ny-10065/29413943982256097/","200 E 62nd St, Unit 8A")</f>
        <v>200 E 62nd St, Unit 8A</v>
      </c>
      <c r="B1861" s="2" t="str">
        <f t="shared" ref="B1861:B1882" si="314">HYPERLINK("https://www.compass.com/building/200-e-62-manhattan-ny/282037506914928197/","200 E 62")</f>
        <v>200 E 62</v>
      </c>
      <c r="C1861" s="1" t="s">
        <v>53</v>
      </c>
      <c r="D1861" s="1" t="s">
        <v>41</v>
      </c>
      <c r="E1861" s="3">
        <v>3156575</v>
      </c>
      <c r="F1861" s="1">
        <v>1857.9017068864</v>
      </c>
      <c r="G1861" s="1">
        <v>4</v>
      </c>
      <c r="H1861" s="1">
        <v>2</v>
      </c>
      <c r="I1861" s="1">
        <v>2</v>
      </c>
      <c r="J1861" s="1">
        <v>2</v>
      </c>
      <c r="K1861" s="1">
        <v>2</v>
      </c>
      <c r="M1861" s="4">
        <v>1699</v>
      </c>
      <c r="N1861" s="1">
        <v>1751</v>
      </c>
      <c r="O1861" s="1">
        <v>3662</v>
      </c>
      <c r="P1861" s="1">
        <v>1911</v>
      </c>
      <c r="Q1861" s="1" t="s">
        <v>42</v>
      </c>
      <c r="S1861" s="1" t="s">
        <v>42</v>
      </c>
      <c r="T1861" s="1" t="s">
        <v>203</v>
      </c>
      <c r="U1861" s="1">
        <v>62</v>
      </c>
      <c r="V1861" s="5">
        <v>43650</v>
      </c>
      <c r="W1861" s="5">
        <v>42214</v>
      </c>
      <c r="X1861" s="1">
        <v>3100000</v>
      </c>
      <c r="Y1861" s="1">
        <v>3100000</v>
      </c>
      <c r="Z1861" s="5">
        <v>42276</v>
      </c>
      <c r="AA1861" s="1">
        <v>3156575</v>
      </c>
      <c r="AB1861" s="1" t="s">
        <v>1412</v>
      </c>
      <c r="AC1861" s="5">
        <v>42409</v>
      </c>
      <c r="AF1861" s="1">
        <v>10065</v>
      </c>
      <c r="AI1861" s="1" t="s">
        <v>156</v>
      </c>
      <c r="AJ1861" s="1">
        <v>1967</v>
      </c>
      <c r="AK1861" s="1" t="s">
        <v>81</v>
      </c>
      <c r="AL1861" s="1">
        <v>113</v>
      </c>
    </row>
    <row r="1862" spans="1:38" x14ac:dyDescent="0.2">
      <c r="A1862" s="2" t="str">
        <f>HYPERLINK("https://www.compass.com/listing/200-east-62nd-street-unit-9a-manhattan-ny-10065/29413945181827057/","200 E 62nd St, Unit 9A")</f>
        <v>200 E 62nd St, Unit 9A</v>
      </c>
      <c r="B1862" s="2" t="str">
        <f t="shared" si="314"/>
        <v>200 E 62</v>
      </c>
      <c r="C1862" s="1" t="s">
        <v>53</v>
      </c>
      <c r="D1862" s="1" t="s">
        <v>41</v>
      </c>
      <c r="E1862" s="3">
        <v>3207487</v>
      </c>
      <c r="F1862" s="1">
        <v>1887.8675691583201</v>
      </c>
      <c r="G1862" s="1">
        <v>4</v>
      </c>
      <c r="H1862" s="1">
        <v>2</v>
      </c>
      <c r="I1862" s="1">
        <v>2</v>
      </c>
      <c r="J1862" s="1">
        <v>2</v>
      </c>
      <c r="K1862" s="1">
        <v>2</v>
      </c>
      <c r="M1862" s="4">
        <v>1699</v>
      </c>
      <c r="N1862" s="1">
        <v>1765</v>
      </c>
      <c r="O1862" s="1">
        <v>3692</v>
      </c>
      <c r="P1862" s="1">
        <v>1927</v>
      </c>
      <c r="Q1862" s="1" t="s">
        <v>42</v>
      </c>
      <c r="S1862" s="1" t="s">
        <v>42</v>
      </c>
      <c r="T1862" s="1" t="s">
        <v>203</v>
      </c>
      <c r="U1862" s="1">
        <v>87</v>
      </c>
      <c r="V1862" s="5">
        <v>43654</v>
      </c>
      <c r="W1862" s="5">
        <v>42206</v>
      </c>
      <c r="X1862" s="1">
        <v>3150000</v>
      </c>
      <c r="Y1862" s="1">
        <v>3150000</v>
      </c>
      <c r="Z1862" s="5">
        <v>42293</v>
      </c>
      <c r="AA1862" s="1">
        <v>3207487</v>
      </c>
      <c r="AB1862" s="1" t="s">
        <v>1413</v>
      </c>
      <c r="AC1862" s="5">
        <v>42402</v>
      </c>
      <c r="AF1862" s="1">
        <v>10065</v>
      </c>
      <c r="AI1862" s="1" t="s">
        <v>156</v>
      </c>
      <c r="AJ1862" s="1">
        <v>1967</v>
      </c>
      <c r="AK1862" s="1" t="s">
        <v>81</v>
      </c>
      <c r="AL1862" s="1">
        <v>113</v>
      </c>
    </row>
    <row r="1863" spans="1:38" x14ac:dyDescent="0.2">
      <c r="A1863" s="2" t="str">
        <f>HYPERLINK("https://www.compass.com/listing/200-east-62nd-street-unit-9b-manhattan-ny-10065/29413945550842657/","200 E 62nd St, Unit 9B")</f>
        <v>200 E 62nd St, Unit 9B</v>
      </c>
      <c r="B1863" s="2" t="str">
        <f t="shared" si="314"/>
        <v>200 E 62</v>
      </c>
      <c r="C1863" s="1" t="s">
        <v>53</v>
      </c>
      <c r="D1863" s="1" t="s">
        <v>41</v>
      </c>
      <c r="E1863" s="3">
        <v>3273673</v>
      </c>
      <c r="F1863" s="1">
        <v>1931.37050147492</v>
      </c>
      <c r="G1863" s="1">
        <v>5</v>
      </c>
      <c r="H1863" s="1">
        <v>2</v>
      </c>
      <c r="I1863" s="1">
        <v>2</v>
      </c>
      <c r="J1863" s="1">
        <v>2</v>
      </c>
      <c r="K1863" s="1">
        <v>2</v>
      </c>
      <c r="M1863" s="4">
        <v>1695</v>
      </c>
      <c r="N1863" s="1">
        <v>1732</v>
      </c>
      <c r="O1863" s="1">
        <v>3622</v>
      </c>
      <c r="P1863" s="1">
        <v>1890</v>
      </c>
      <c r="Q1863" s="1" t="s">
        <v>42</v>
      </c>
      <c r="S1863" s="1" t="s">
        <v>42</v>
      </c>
      <c r="T1863" s="1" t="s">
        <v>203</v>
      </c>
      <c r="U1863" s="1">
        <v>73</v>
      </c>
      <c r="V1863" s="5">
        <v>43654</v>
      </c>
      <c r="W1863" s="5">
        <v>42199</v>
      </c>
      <c r="X1863" s="1">
        <v>3215000</v>
      </c>
      <c r="Y1863" s="1">
        <v>3215000</v>
      </c>
      <c r="Z1863" s="5">
        <v>42272</v>
      </c>
      <c r="AA1863" s="1">
        <v>3273673</v>
      </c>
      <c r="AB1863" s="1" t="s">
        <v>1414</v>
      </c>
      <c r="AC1863" s="5">
        <v>42441</v>
      </c>
      <c r="AF1863" s="1">
        <v>10065</v>
      </c>
      <c r="AI1863" s="1" t="s">
        <v>156</v>
      </c>
      <c r="AJ1863" s="1">
        <v>1967</v>
      </c>
      <c r="AK1863" s="1" t="s">
        <v>81</v>
      </c>
      <c r="AL1863" s="1">
        <v>113</v>
      </c>
    </row>
    <row r="1864" spans="1:38" x14ac:dyDescent="0.2">
      <c r="A1864" s="2" t="str">
        <f>HYPERLINK("https://www.compass.com/listing/200-east-62nd-street-unit-10a-manhattan-ny-10065/29413947119509553/","200 E 62nd St, Unit 10A")</f>
        <v>200 E 62nd St, Unit 10A</v>
      </c>
      <c r="B1864" s="2" t="str">
        <f t="shared" si="314"/>
        <v>200 E 62</v>
      </c>
      <c r="C1864" s="1" t="s">
        <v>53</v>
      </c>
      <c r="D1864" s="1" t="s">
        <v>41</v>
      </c>
      <c r="E1864" s="3">
        <v>3258400</v>
      </c>
      <c r="F1864" s="1">
        <v>1917.83402001177</v>
      </c>
      <c r="G1864" s="1">
        <v>4.5</v>
      </c>
      <c r="H1864" s="1">
        <v>2</v>
      </c>
      <c r="I1864" s="1">
        <v>2</v>
      </c>
      <c r="J1864" s="1">
        <v>2</v>
      </c>
      <c r="K1864" s="1">
        <v>2</v>
      </c>
      <c r="M1864" s="4">
        <v>1699</v>
      </c>
      <c r="N1864" s="1">
        <v>1779</v>
      </c>
      <c r="O1864" s="1">
        <v>3721</v>
      </c>
      <c r="P1864" s="1">
        <v>1942</v>
      </c>
      <c r="Q1864" s="1" t="s">
        <v>42</v>
      </c>
      <c r="S1864" s="1" t="s">
        <v>42</v>
      </c>
      <c r="T1864" s="1" t="s">
        <v>203</v>
      </c>
      <c r="U1864" s="1">
        <v>15</v>
      </c>
      <c r="V1864" s="5">
        <v>43635</v>
      </c>
      <c r="W1864" s="5">
        <v>42284</v>
      </c>
      <c r="X1864" s="1">
        <v>3200000</v>
      </c>
      <c r="Y1864" s="1">
        <v>3200000</v>
      </c>
      <c r="Z1864" s="5">
        <v>42299</v>
      </c>
      <c r="AA1864" s="1">
        <v>3258400</v>
      </c>
      <c r="AB1864" s="1" t="s">
        <v>1415</v>
      </c>
      <c r="AC1864" s="5">
        <v>42563</v>
      </c>
      <c r="AF1864" s="1">
        <v>10065</v>
      </c>
      <c r="AI1864" s="1" t="s">
        <v>156</v>
      </c>
      <c r="AJ1864" s="1">
        <v>1967</v>
      </c>
      <c r="AK1864" s="1" t="s">
        <v>81</v>
      </c>
      <c r="AL1864" s="1">
        <v>113</v>
      </c>
    </row>
    <row r="1865" spans="1:38" x14ac:dyDescent="0.2">
      <c r="A1865" s="2" t="str">
        <f>HYPERLINK("https://www.compass.com/listing/200-east-62nd-street-unit-15b-manhattan-ny-10065/29413952396030033/","200 E 62nd St, Unit 15B")</f>
        <v>200 E 62nd St, Unit 15B</v>
      </c>
      <c r="B1865" s="2" t="str">
        <f t="shared" si="314"/>
        <v>200 E 62</v>
      </c>
      <c r="C1865" s="1" t="s">
        <v>53</v>
      </c>
      <c r="D1865" s="1" t="s">
        <v>41</v>
      </c>
      <c r="E1865" s="3">
        <v>3300000</v>
      </c>
      <c r="F1865" s="1">
        <v>1946.90265486725</v>
      </c>
      <c r="G1865" s="1">
        <v>4</v>
      </c>
      <c r="H1865" s="1">
        <v>2</v>
      </c>
      <c r="I1865" s="1">
        <v>2</v>
      </c>
      <c r="J1865" s="1">
        <v>2</v>
      </c>
      <c r="K1865" s="1">
        <v>2</v>
      </c>
      <c r="M1865" s="4">
        <v>1695</v>
      </c>
      <c r="N1865" s="1">
        <v>1802</v>
      </c>
      <c r="O1865" s="1">
        <v>3769</v>
      </c>
      <c r="P1865" s="1">
        <v>1967</v>
      </c>
      <c r="Q1865" s="1" t="s">
        <v>42</v>
      </c>
      <c r="S1865" s="1" t="s">
        <v>42</v>
      </c>
      <c r="T1865" s="1" t="s">
        <v>203</v>
      </c>
      <c r="U1865" s="1">
        <v>176</v>
      </c>
      <c r="V1865" s="5">
        <v>43673</v>
      </c>
      <c r="W1865" s="5">
        <v>42376</v>
      </c>
      <c r="X1865" s="1">
        <v>3445000</v>
      </c>
      <c r="Y1865" s="1">
        <v>3300000</v>
      </c>
      <c r="Z1865" s="5">
        <v>42552</v>
      </c>
      <c r="AA1865" s="1">
        <v>3300000</v>
      </c>
      <c r="AB1865" s="1" t="s">
        <v>1416</v>
      </c>
      <c r="AC1865" s="5">
        <v>42625</v>
      </c>
      <c r="AF1865" s="1">
        <v>10065</v>
      </c>
      <c r="AI1865" s="1" t="s">
        <v>156</v>
      </c>
      <c r="AJ1865" s="1">
        <v>1967</v>
      </c>
      <c r="AK1865" s="1" t="s">
        <v>81</v>
      </c>
      <c r="AL1865" s="1">
        <v>113</v>
      </c>
    </row>
    <row r="1866" spans="1:38" x14ac:dyDescent="0.2">
      <c r="A1866" s="2" t="str">
        <f>HYPERLINK("https://www.compass.com/listing/200-east-62nd-street-unit-16a-manhattan-ny-10065/29413953595600993/","200 E 62nd St, Unit 16A")</f>
        <v>200 E 62nd St, Unit 16A</v>
      </c>
      <c r="B1866" s="2" t="str">
        <f t="shared" si="314"/>
        <v>200 E 62</v>
      </c>
      <c r="C1866" s="1" t="s">
        <v>53</v>
      </c>
      <c r="D1866" s="1" t="s">
        <v>41</v>
      </c>
      <c r="E1866" s="3">
        <v>3450000</v>
      </c>
      <c r="F1866" s="1">
        <v>2042.62877442273</v>
      </c>
      <c r="G1866" s="1">
        <v>4</v>
      </c>
      <c r="H1866" s="1">
        <v>2</v>
      </c>
      <c r="I1866" s="1">
        <v>2</v>
      </c>
      <c r="J1866" s="1">
        <v>2</v>
      </c>
      <c r="K1866" s="1">
        <v>2</v>
      </c>
      <c r="M1866" s="4">
        <v>1689</v>
      </c>
      <c r="N1866" s="1">
        <v>1841</v>
      </c>
      <c r="O1866" s="1">
        <v>3851</v>
      </c>
      <c r="P1866" s="1">
        <v>2010</v>
      </c>
      <c r="Q1866" s="1" t="s">
        <v>42</v>
      </c>
      <c r="S1866" s="1" t="s">
        <v>42</v>
      </c>
      <c r="T1866" s="1" t="s">
        <v>203</v>
      </c>
      <c r="U1866" s="1">
        <v>190</v>
      </c>
      <c r="V1866" s="5">
        <v>43665</v>
      </c>
      <c r="W1866" s="5">
        <v>42376</v>
      </c>
      <c r="X1866" s="1">
        <v>3550000</v>
      </c>
      <c r="Y1866" s="1">
        <v>3450000</v>
      </c>
      <c r="Z1866" s="5">
        <v>42566</v>
      </c>
      <c r="AA1866" s="1">
        <v>3450000</v>
      </c>
      <c r="AB1866" s="1" t="s">
        <v>1417</v>
      </c>
      <c r="AC1866" s="5">
        <v>42627</v>
      </c>
      <c r="AF1866" s="1">
        <v>10065</v>
      </c>
      <c r="AI1866" s="1" t="s">
        <v>156</v>
      </c>
      <c r="AJ1866" s="1">
        <v>1967</v>
      </c>
      <c r="AK1866" s="1" t="s">
        <v>81</v>
      </c>
      <c r="AL1866" s="1">
        <v>113</v>
      </c>
    </row>
    <row r="1867" spans="1:38" x14ac:dyDescent="0.2">
      <c r="A1867" s="2" t="str">
        <f>HYPERLINK("https://www.compass.com/listing/200-east-62nd-street-unit-22a-manhattan-ny-10065/29413956330287233/","200 E 62nd St, Unit 22A")</f>
        <v>200 E 62nd St, Unit 22A</v>
      </c>
      <c r="B1867" s="2" t="str">
        <f t="shared" si="314"/>
        <v>200 E 62</v>
      </c>
      <c r="C1867" s="1" t="s">
        <v>53</v>
      </c>
      <c r="D1867" s="1" t="s">
        <v>41</v>
      </c>
      <c r="E1867" s="3">
        <v>3268074</v>
      </c>
      <c r="F1867" s="1">
        <v>1934.91637063351</v>
      </c>
      <c r="G1867" s="1">
        <v>7</v>
      </c>
      <c r="H1867" s="1">
        <v>2</v>
      </c>
      <c r="I1867" s="1">
        <v>2</v>
      </c>
      <c r="J1867" s="1">
        <v>2.5</v>
      </c>
      <c r="K1867" s="1">
        <v>2</v>
      </c>
      <c r="L1867" s="1">
        <v>1</v>
      </c>
      <c r="M1867" s="4">
        <v>1689</v>
      </c>
      <c r="N1867" s="1">
        <v>1926</v>
      </c>
      <c r="O1867" s="1">
        <v>4028</v>
      </c>
      <c r="P1867" s="1">
        <v>2102</v>
      </c>
      <c r="Q1867" s="1" t="s">
        <v>42</v>
      </c>
      <c r="S1867" s="1" t="s">
        <v>42</v>
      </c>
      <c r="T1867" s="1" t="s">
        <v>203</v>
      </c>
      <c r="U1867" s="1">
        <v>266</v>
      </c>
      <c r="V1867" s="5">
        <v>42962</v>
      </c>
      <c r="W1867" s="5">
        <v>42570</v>
      </c>
      <c r="X1867" s="1">
        <v>3760000</v>
      </c>
      <c r="Y1867" s="1">
        <v>3445000</v>
      </c>
      <c r="AA1867" s="1">
        <v>3268073.75</v>
      </c>
      <c r="AB1867" s="1" t="s">
        <v>1408</v>
      </c>
      <c r="AC1867" s="5">
        <v>43033</v>
      </c>
      <c r="AF1867" s="1">
        <v>10065</v>
      </c>
      <c r="AI1867" s="1" t="s">
        <v>156</v>
      </c>
      <c r="AJ1867" s="1">
        <v>1967</v>
      </c>
      <c r="AK1867" s="1" t="s">
        <v>81</v>
      </c>
      <c r="AL1867" s="1">
        <v>113</v>
      </c>
    </row>
    <row r="1868" spans="1:38" x14ac:dyDescent="0.2">
      <c r="A1868" s="2" t="str">
        <f>HYPERLINK("https://www.compass.com/listing/200-east-62nd-street-unit-10d-manhattan-ny-10065/29413947874487121/","200 E 62nd St, Unit 10D")</f>
        <v>200 E 62nd St, Unit 10D</v>
      </c>
      <c r="B1868" s="2" t="str">
        <f t="shared" si="314"/>
        <v>200 E 62</v>
      </c>
      <c r="C1868" s="1" t="s">
        <v>53</v>
      </c>
      <c r="D1868" s="1" t="s">
        <v>41</v>
      </c>
      <c r="E1868" s="3">
        <v>3900000</v>
      </c>
      <c r="F1868" s="1">
        <v>1961.77062374245</v>
      </c>
      <c r="G1868" s="1">
        <v>5</v>
      </c>
      <c r="H1868" s="1">
        <v>3</v>
      </c>
      <c r="I1868" s="1">
        <v>2</v>
      </c>
      <c r="J1868" s="1">
        <v>2</v>
      </c>
      <c r="K1868" s="1">
        <v>2</v>
      </c>
      <c r="M1868" s="4">
        <v>1988</v>
      </c>
      <c r="N1868" s="1">
        <v>2103</v>
      </c>
      <c r="O1868" s="1">
        <v>4398</v>
      </c>
      <c r="P1868" s="1">
        <v>2295</v>
      </c>
      <c r="Q1868" s="1" t="s">
        <v>42</v>
      </c>
      <c r="S1868" s="1" t="s">
        <v>42</v>
      </c>
      <c r="T1868" s="1" t="s">
        <v>203</v>
      </c>
      <c r="U1868" s="1">
        <v>309</v>
      </c>
      <c r="V1868" s="5">
        <v>43635</v>
      </c>
      <c r="W1868" s="5">
        <v>42431</v>
      </c>
      <c r="X1868" s="1">
        <v>4030000</v>
      </c>
      <c r="Y1868" s="1">
        <v>3950000</v>
      </c>
      <c r="Z1868" s="5">
        <v>42740</v>
      </c>
      <c r="AA1868" s="1">
        <v>3900000</v>
      </c>
      <c r="AB1868" s="1" t="s">
        <v>1418</v>
      </c>
      <c r="AC1868" s="5">
        <v>42781</v>
      </c>
      <c r="AF1868" s="1">
        <v>10065</v>
      </c>
      <c r="AI1868" s="1" t="s">
        <v>156</v>
      </c>
      <c r="AJ1868" s="1">
        <v>1967</v>
      </c>
      <c r="AK1868" s="1" t="s">
        <v>81</v>
      </c>
      <c r="AL1868" s="1">
        <v>113</v>
      </c>
    </row>
    <row r="1869" spans="1:38" x14ac:dyDescent="0.2">
      <c r="A1869" s="2" t="str">
        <f>HYPERLINK("https://www.compass.com/listing/200-east-62nd-street-unit-18d-manhattan-ny-10065/29413955474566065/","200 E 62nd St, Unit 18D")</f>
        <v>200 E 62nd St, Unit 18D</v>
      </c>
      <c r="B1869" s="2" t="str">
        <f t="shared" si="314"/>
        <v>200 E 62</v>
      </c>
      <c r="C1869" s="1" t="s">
        <v>53</v>
      </c>
      <c r="D1869" s="1" t="s">
        <v>41</v>
      </c>
      <c r="E1869" s="3">
        <v>4395300</v>
      </c>
      <c r="F1869" s="1">
        <v>2219.84848484848</v>
      </c>
      <c r="G1869" s="1">
        <v>5.5</v>
      </c>
      <c r="H1869" s="1">
        <v>3</v>
      </c>
      <c r="I1869" s="1">
        <v>2</v>
      </c>
      <c r="J1869" s="1">
        <v>2</v>
      </c>
      <c r="K1869" s="1">
        <v>2</v>
      </c>
      <c r="M1869" s="4">
        <v>1980</v>
      </c>
      <c r="N1869" s="1">
        <v>2456</v>
      </c>
      <c r="O1869" s="1">
        <v>4707</v>
      </c>
      <c r="P1869" s="1">
        <v>2251</v>
      </c>
      <c r="Q1869" s="1" t="s">
        <v>42</v>
      </c>
      <c r="S1869" s="1" t="s">
        <v>42</v>
      </c>
      <c r="T1869" s="1" t="s">
        <v>203</v>
      </c>
      <c r="U1869" s="1">
        <v>88</v>
      </c>
      <c r="V1869" s="5">
        <v>43635</v>
      </c>
      <c r="W1869" s="5">
        <v>42343</v>
      </c>
      <c r="X1869" s="1">
        <v>4485000</v>
      </c>
      <c r="Y1869" s="1">
        <v>4485000</v>
      </c>
      <c r="Z1869" s="5">
        <v>42431</v>
      </c>
      <c r="AA1869" s="1">
        <v>4395300</v>
      </c>
      <c r="AB1869" s="1" t="s">
        <v>1419</v>
      </c>
      <c r="AC1869" s="5">
        <v>42587</v>
      </c>
      <c r="AF1869" s="1">
        <v>10065</v>
      </c>
      <c r="AI1869" s="1" t="s">
        <v>156</v>
      </c>
      <c r="AJ1869" s="1">
        <v>1967</v>
      </c>
      <c r="AK1869" s="1" t="s">
        <v>81</v>
      </c>
      <c r="AL1869" s="1">
        <v>113</v>
      </c>
    </row>
    <row r="1870" spans="1:38" x14ac:dyDescent="0.2">
      <c r="A1870" s="2" t="str">
        <f>HYPERLINK("https://www.compass.com/listing/200-east-62nd-street-unit-26a-manhattan-ny-10065/20314413408028881/","200 E 62nd St, Unit 26A")</f>
        <v>200 E 62nd St, Unit 26A</v>
      </c>
      <c r="B1870" s="2" t="str">
        <f t="shared" si="314"/>
        <v>200 E 62</v>
      </c>
      <c r="C1870" s="1" t="s">
        <v>53</v>
      </c>
      <c r="D1870" s="1" t="s">
        <v>41</v>
      </c>
      <c r="E1870" s="3">
        <v>3391791</v>
      </c>
      <c r="F1870" s="1">
        <v>2008.1650384843099</v>
      </c>
      <c r="G1870" s="1">
        <v>5</v>
      </c>
      <c r="H1870" s="1">
        <v>2</v>
      </c>
      <c r="I1870" s="1">
        <v>2</v>
      </c>
      <c r="J1870" s="1">
        <v>2.5</v>
      </c>
      <c r="K1870" s="1">
        <v>2</v>
      </c>
      <c r="L1870" s="1">
        <v>1</v>
      </c>
      <c r="M1870" s="4">
        <v>1689</v>
      </c>
      <c r="N1870" s="1">
        <v>2109</v>
      </c>
      <c r="O1870" s="1">
        <v>4852</v>
      </c>
      <c r="P1870" s="1">
        <v>2743</v>
      </c>
      <c r="Q1870" s="1" t="s">
        <v>42</v>
      </c>
      <c r="S1870" s="1" t="s">
        <v>42</v>
      </c>
      <c r="T1870" s="1" t="s">
        <v>203</v>
      </c>
      <c r="U1870" s="1">
        <v>158</v>
      </c>
      <c r="V1870" s="5">
        <v>43650</v>
      </c>
      <c r="W1870" s="5">
        <v>43078</v>
      </c>
      <c r="X1870" s="1">
        <v>3450000</v>
      </c>
      <c r="Y1870" s="1">
        <v>3450000</v>
      </c>
      <c r="Z1870" s="5">
        <v>43236</v>
      </c>
      <c r="AA1870" s="1">
        <v>3391790.75</v>
      </c>
      <c r="AB1870" s="1" t="s">
        <v>1420</v>
      </c>
      <c r="AC1870" s="5">
        <v>43276</v>
      </c>
      <c r="AF1870" s="1">
        <v>10065</v>
      </c>
      <c r="AI1870" s="1" t="s">
        <v>156</v>
      </c>
      <c r="AJ1870" s="1">
        <v>1967</v>
      </c>
      <c r="AK1870" s="1" t="s">
        <v>81</v>
      </c>
      <c r="AL1870" s="1">
        <v>113</v>
      </c>
    </row>
    <row r="1871" spans="1:38" x14ac:dyDescent="0.2">
      <c r="A1871" s="2" t="str">
        <f>HYPERLINK("https://www.compass.com/listing/200-east-62nd-street-unit-23a-manhattan-ny-10065/4804574852860097649/","200 E 62nd St, Unit 23A")</f>
        <v>200 E 62nd St, Unit 23A</v>
      </c>
      <c r="B1871" s="2" t="str">
        <f t="shared" si="314"/>
        <v>200 E 62</v>
      </c>
      <c r="C1871" s="1" t="s">
        <v>53</v>
      </c>
      <c r="D1871" s="1" t="s">
        <v>41</v>
      </c>
      <c r="E1871" s="3">
        <v>3285000</v>
      </c>
      <c r="F1871" s="1">
        <v>1944.9378330372999</v>
      </c>
      <c r="G1871" s="1">
        <v>5</v>
      </c>
      <c r="H1871" s="1">
        <v>2</v>
      </c>
      <c r="I1871" s="1">
        <v>2</v>
      </c>
      <c r="J1871" s="1">
        <v>2.5</v>
      </c>
      <c r="K1871" s="1">
        <v>2</v>
      </c>
      <c r="L1871" s="1">
        <v>1</v>
      </c>
      <c r="M1871" s="4">
        <v>1689</v>
      </c>
      <c r="N1871" s="1">
        <v>1940</v>
      </c>
      <c r="O1871" s="1">
        <v>4057</v>
      </c>
      <c r="P1871" s="1">
        <v>2117</v>
      </c>
      <c r="Q1871" s="1" t="s">
        <v>42</v>
      </c>
      <c r="S1871" s="1" t="s">
        <v>42</v>
      </c>
      <c r="T1871" s="1" t="s">
        <v>203</v>
      </c>
      <c r="U1871" s="1">
        <v>91</v>
      </c>
      <c r="V1871" s="5">
        <v>43642</v>
      </c>
      <c r="W1871" s="5">
        <v>42987</v>
      </c>
      <c r="X1871" s="1">
        <v>3325000</v>
      </c>
      <c r="Y1871" s="1">
        <v>3325000</v>
      </c>
      <c r="Z1871" s="5">
        <v>43078</v>
      </c>
      <c r="AA1871" s="1">
        <v>3285000</v>
      </c>
      <c r="AB1871" s="1" t="s">
        <v>1421</v>
      </c>
      <c r="AC1871" s="5">
        <v>43143</v>
      </c>
      <c r="AF1871" s="1">
        <v>10065</v>
      </c>
      <c r="AI1871" s="1" t="s">
        <v>156</v>
      </c>
      <c r="AJ1871" s="1">
        <v>1967</v>
      </c>
      <c r="AK1871" s="1" t="s">
        <v>81</v>
      </c>
      <c r="AL1871" s="1">
        <v>113</v>
      </c>
    </row>
    <row r="1872" spans="1:38" x14ac:dyDescent="0.2">
      <c r="A1872" s="2" t="str">
        <f>HYPERLINK("https://www.compass.com/listing/200-east-62nd-street-unit-24d-manhattan-ny-10065/4852285259728830385/","200 E 62nd St, Unit 24D")</f>
        <v>200 E 62nd St, Unit 24D</v>
      </c>
      <c r="B1872" s="2" t="str">
        <f t="shared" si="314"/>
        <v>200 E 62</v>
      </c>
      <c r="C1872" s="1" t="s">
        <v>53</v>
      </c>
      <c r="D1872" s="1" t="s">
        <v>41</v>
      </c>
      <c r="E1872" s="3">
        <v>3160000</v>
      </c>
      <c r="F1872" s="1">
        <v>1810.88825214899</v>
      </c>
      <c r="G1872" s="1">
        <v>4</v>
      </c>
      <c r="H1872" s="1">
        <v>2</v>
      </c>
      <c r="I1872" s="1">
        <v>3</v>
      </c>
      <c r="J1872" s="1">
        <v>3</v>
      </c>
      <c r="K1872" s="1">
        <v>3</v>
      </c>
      <c r="M1872" s="4">
        <v>1745</v>
      </c>
      <c r="N1872" s="1">
        <v>2023</v>
      </c>
      <c r="O1872" s="1">
        <v>4231</v>
      </c>
      <c r="P1872" s="1">
        <v>2208</v>
      </c>
      <c r="Q1872" s="1" t="s">
        <v>42</v>
      </c>
      <c r="S1872" s="1" t="s">
        <v>42</v>
      </c>
      <c r="T1872" s="1" t="s">
        <v>203</v>
      </c>
      <c r="V1872" s="5">
        <v>43074</v>
      </c>
      <c r="W1872" s="5">
        <v>43033</v>
      </c>
      <c r="X1872" s="1">
        <v>3395000</v>
      </c>
      <c r="Y1872" s="1">
        <v>3395000</v>
      </c>
      <c r="Z1872" s="5">
        <v>43034</v>
      </c>
      <c r="AA1872" s="1">
        <v>3160000</v>
      </c>
      <c r="AB1872" s="1" t="s">
        <v>1422</v>
      </c>
      <c r="AC1872" s="5">
        <v>43052</v>
      </c>
      <c r="AF1872" s="1">
        <v>10065</v>
      </c>
      <c r="AI1872" s="1" t="s">
        <v>156</v>
      </c>
      <c r="AJ1872" s="1">
        <v>1967</v>
      </c>
      <c r="AK1872" s="1" t="s">
        <v>81</v>
      </c>
      <c r="AL1872" s="1">
        <v>113</v>
      </c>
    </row>
    <row r="1873" spans="1:38" x14ac:dyDescent="0.2">
      <c r="A1873" s="2" t="str">
        <f>HYPERLINK("https://www.compass.com/listing/200-east-62nd-street-unit-22b-manhattan-ny-10065/4852287019440672385/","200 E 62nd St, Unit 22B")</f>
        <v>200 E 62nd St, Unit 22B</v>
      </c>
      <c r="B1873" s="2" t="str">
        <f t="shared" si="314"/>
        <v>200 E 62</v>
      </c>
      <c r="C1873" s="1" t="s">
        <v>53</v>
      </c>
      <c r="D1873" s="1" t="s">
        <v>41</v>
      </c>
      <c r="E1873" s="3">
        <v>3200000</v>
      </c>
      <c r="F1873" s="1">
        <v>1887.90560471976</v>
      </c>
      <c r="G1873" s="1">
        <v>4</v>
      </c>
      <c r="H1873" s="1">
        <v>2</v>
      </c>
      <c r="I1873" s="1">
        <v>2</v>
      </c>
      <c r="J1873" s="1">
        <v>2.5</v>
      </c>
      <c r="K1873" s="1">
        <v>2</v>
      </c>
      <c r="L1873" s="1">
        <v>1</v>
      </c>
      <c r="M1873" s="4">
        <v>1695</v>
      </c>
      <c r="N1873" s="1">
        <v>1945</v>
      </c>
      <c r="O1873" s="1">
        <v>4068</v>
      </c>
      <c r="P1873" s="1">
        <v>2123</v>
      </c>
      <c r="Q1873" s="1" t="s">
        <v>42</v>
      </c>
      <c r="S1873" s="1" t="s">
        <v>42</v>
      </c>
      <c r="T1873" s="1" t="s">
        <v>203</v>
      </c>
      <c r="U1873" s="1">
        <v>162</v>
      </c>
      <c r="V1873" s="5">
        <v>43649</v>
      </c>
      <c r="W1873" s="5">
        <v>42837</v>
      </c>
      <c r="X1873" s="1">
        <v>3445000</v>
      </c>
      <c r="Y1873" s="1">
        <v>3275000</v>
      </c>
      <c r="Z1873" s="5">
        <v>42999</v>
      </c>
      <c r="AA1873" s="1">
        <v>3200000</v>
      </c>
      <c r="AB1873" s="1" t="s">
        <v>1423</v>
      </c>
      <c r="AC1873" s="5">
        <v>43056</v>
      </c>
      <c r="AF1873" s="1">
        <v>10065</v>
      </c>
      <c r="AI1873" s="1" t="s">
        <v>156</v>
      </c>
      <c r="AJ1873" s="1">
        <v>1967</v>
      </c>
      <c r="AK1873" s="1" t="s">
        <v>81</v>
      </c>
      <c r="AL1873" s="1">
        <v>113</v>
      </c>
    </row>
    <row r="1874" spans="1:38" x14ac:dyDescent="0.2">
      <c r="A1874" s="2" t="str">
        <f>HYPERLINK("https://www.compass.com/listing/200-east-62nd-street-unit-26b-manhattan-ny-10065/29413959375268833/","200 E 62nd St, Unit 26B")</f>
        <v>200 E 62nd St, Unit 26B</v>
      </c>
      <c r="B1874" s="2" t="str">
        <f t="shared" si="314"/>
        <v>200 E 62</v>
      </c>
      <c r="C1874" s="1" t="s">
        <v>53</v>
      </c>
      <c r="D1874" s="1" t="s">
        <v>41</v>
      </c>
      <c r="E1874" s="3">
        <v>4011905</v>
      </c>
      <c r="F1874" s="1">
        <v>2366.90560471976</v>
      </c>
      <c r="G1874" s="1">
        <v>5</v>
      </c>
      <c r="H1874" s="1">
        <v>2</v>
      </c>
      <c r="I1874" s="1">
        <v>2</v>
      </c>
      <c r="J1874" s="1">
        <v>2.5</v>
      </c>
      <c r="K1874" s="1">
        <v>2</v>
      </c>
      <c r="L1874" s="1">
        <v>1</v>
      </c>
      <c r="M1874" s="4">
        <v>1695</v>
      </c>
      <c r="N1874" s="1">
        <v>1971</v>
      </c>
      <c r="O1874" s="1">
        <v>4123</v>
      </c>
      <c r="P1874" s="1">
        <v>2152</v>
      </c>
      <c r="Q1874" s="1" t="s">
        <v>42</v>
      </c>
      <c r="S1874" s="1" t="s">
        <v>42</v>
      </c>
      <c r="T1874" s="1" t="s">
        <v>203</v>
      </c>
      <c r="U1874" s="1">
        <v>98</v>
      </c>
      <c r="V1874" s="5">
        <v>43650</v>
      </c>
      <c r="W1874" s="5">
        <v>42250</v>
      </c>
      <c r="X1874" s="1">
        <v>3940000</v>
      </c>
      <c r="Y1874" s="1">
        <v>3940000</v>
      </c>
      <c r="Z1874" s="5">
        <v>42348</v>
      </c>
      <c r="AA1874" s="1">
        <v>4011905</v>
      </c>
      <c r="AB1874" s="1" t="s">
        <v>1424</v>
      </c>
      <c r="AC1874" s="5">
        <v>42408</v>
      </c>
      <c r="AF1874" s="1">
        <v>10065</v>
      </c>
      <c r="AI1874" s="1" t="s">
        <v>156</v>
      </c>
      <c r="AJ1874" s="1">
        <v>1967</v>
      </c>
      <c r="AK1874" s="1" t="s">
        <v>81</v>
      </c>
      <c r="AL1874" s="1">
        <v>113</v>
      </c>
    </row>
    <row r="1875" spans="1:38" x14ac:dyDescent="0.2">
      <c r="A1875" s="2" t="str">
        <f>HYPERLINK("https://www.compass.com/listing/200-east-62nd-street-unit-18e-manhattan-ny-10065/28023356179690033/","200 E 62nd St, Unit 18E")</f>
        <v>200 E 62nd St, Unit 18E</v>
      </c>
      <c r="B1875" s="2" t="str">
        <f t="shared" si="314"/>
        <v>200 E 62</v>
      </c>
      <c r="C1875" s="1" t="s">
        <v>53</v>
      </c>
      <c r="D1875" s="1" t="s">
        <v>41</v>
      </c>
      <c r="E1875" s="3">
        <v>3395000</v>
      </c>
      <c r="F1875" s="1">
        <v>1753.6157024793299</v>
      </c>
      <c r="G1875" s="1">
        <v>4</v>
      </c>
      <c r="H1875" s="1">
        <v>2</v>
      </c>
      <c r="I1875" s="1">
        <v>2</v>
      </c>
      <c r="J1875" s="1">
        <v>2.5</v>
      </c>
      <c r="K1875" s="1">
        <v>2</v>
      </c>
      <c r="L1875" s="1">
        <v>1</v>
      </c>
      <c r="M1875" s="4">
        <v>1936</v>
      </c>
      <c r="N1875" s="1">
        <v>2111</v>
      </c>
      <c r="O1875" s="1">
        <v>4582</v>
      </c>
      <c r="P1875" s="1">
        <v>2471</v>
      </c>
      <c r="Q1875" s="1" t="s">
        <v>42</v>
      </c>
      <c r="S1875" s="1" t="s">
        <v>42</v>
      </c>
      <c r="T1875" s="1" t="s">
        <v>203</v>
      </c>
      <c r="U1875" s="1">
        <v>342</v>
      </c>
      <c r="V1875" s="5">
        <v>43635</v>
      </c>
      <c r="W1875" s="5">
        <v>42893</v>
      </c>
      <c r="X1875" s="1">
        <v>3500000</v>
      </c>
      <c r="Y1875" s="1">
        <v>3465000</v>
      </c>
      <c r="Z1875" s="5">
        <v>43235</v>
      </c>
      <c r="AA1875" s="1">
        <v>3395000</v>
      </c>
      <c r="AB1875" s="1" t="s">
        <v>1425</v>
      </c>
      <c r="AC1875" s="5">
        <v>43276</v>
      </c>
      <c r="AF1875" s="1">
        <v>10065</v>
      </c>
      <c r="AI1875" s="1" t="s">
        <v>156</v>
      </c>
      <c r="AJ1875" s="1">
        <v>1967</v>
      </c>
      <c r="AK1875" s="1" t="s">
        <v>81</v>
      </c>
      <c r="AL1875" s="1">
        <v>113</v>
      </c>
    </row>
    <row r="1876" spans="1:38" x14ac:dyDescent="0.2">
      <c r="A1876" s="2" t="str">
        <f>HYPERLINK("https://www.compass.com/listing/200-east-62nd-street-unit-24a-manhattan-ny-10065/29641192295633105/","200 E 62nd St, Unit 24A")</f>
        <v>200 E 62nd St, Unit 24A</v>
      </c>
      <c r="B1876" s="2" t="str">
        <f t="shared" si="314"/>
        <v>200 E 62</v>
      </c>
      <c r="C1876" s="1" t="s">
        <v>53</v>
      </c>
      <c r="D1876" s="1" t="s">
        <v>41</v>
      </c>
      <c r="E1876" s="3">
        <v>3300000</v>
      </c>
      <c r="F1876" s="1">
        <v>1953.8188277086999</v>
      </c>
      <c r="G1876" s="1">
        <v>5</v>
      </c>
      <c r="H1876" s="1">
        <v>2</v>
      </c>
      <c r="I1876" s="1">
        <v>3</v>
      </c>
      <c r="J1876" s="1">
        <v>2.5</v>
      </c>
      <c r="K1876" s="1">
        <v>2</v>
      </c>
      <c r="L1876" s="1">
        <v>1</v>
      </c>
      <c r="M1876" s="4">
        <v>1689</v>
      </c>
      <c r="N1876" s="1">
        <v>1954</v>
      </c>
      <c r="O1876" s="1">
        <v>4406</v>
      </c>
      <c r="P1876" s="1">
        <v>2452</v>
      </c>
      <c r="Q1876" s="1" t="s">
        <v>42</v>
      </c>
      <c r="S1876" s="1" t="s">
        <v>42</v>
      </c>
      <c r="T1876" s="1" t="s">
        <v>203</v>
      </c>
      <c r="U1876" s="1">
        <v>71</v>
      </c>
      <c r="V1876" s="5">
        <v>43642</v>
      </c>
      <c r="W1876" s="5">
        <v>43236</v>
      </c>
      <c r="X1876" s="1">
        <v>3435000</v>
      </c>
      <c r="Y1876" s="1">
        <v>3435000</v>
      </c>
      <c r="Z1876" s="5">
        <v>43307</v>
      </c>
      <c r="AA1876" s="1">
        <v>3300000</v>
      </c>
      <c r="AB1876" s="1" t="s">
        <v>1426</v>
      </c>
      <c r="AC1876" s="5">
        <v>43356</v>
      </c>
      <c r="AF1876" s="1">
        <v>10065</v>
      </c>
      <c r="AI1876" s="1" t="s">
        <v>156</v>
      </c>
      <c r="AJ1876" s="1">
        <v>1967</v>
      </c>
      <c r="AK1876" s="1" t="s">
        <v>81</v>
      </c>
      <c r="AL1876" s="1">
        <v>113</v>
      </c>
    </row>
    <row r="1877" spans="1:38" x14ac:dyDescent="0.2">
      <c r="A1877" s="2" t="str">
        <f>HYPERLINK("https://www.compass.com/listing/200-east-62nd-street-unit-28a-manhattan-ny-10065/39793211635407857/","200 E 62nd St, Unit 28A")</f>
        <v>200 E 62nd St, Unit 28A</v>
      </c>
      <c r="B1877" s="2" t="str">
        <f t="shared" si="314"/>
        <v>200 E 62</v>
      </c>
      <c r="C1877" s="1" t="s">
        <v>53</v>
      </c>
      <c r="D1877" s="1" t="s">
        <v>41</v>
      </c>
      <c r="E1877" s="3">
        <v>3250000</v>
      </c>
      <c r="F1877" s="1">
        <v>1924.2155121373501</v>
      </c>
      <c r="G1877" s="1">
        <v>4</v>
      </c>
      <c r="H1877" s="1">
        <v>2</v>
      </c>
      <c r="I1877" s="1">
        <v>3</v>
      </c>
      <c r="J1877" s="1">
        <v>2.5</v>
      </c>
      <c r="K1877" s="1">
        <v>2</v>
      </c>
      <c r="L1877" s="1">
        <v>1</v>
      </c>
      <c r="M1877" s="4">
        <v>1689</v>
      </c>
      <c r="N1877" s="1">
        <v>2067</v>
      </c>
      <c r="O1877" s="1">
        <v>5038</v>
      </c>
      <c r="P1877" s="1">
        <v>2971</v>
      </c>
      <c r="Q1877" s="1" t="s">
        <v>42</v>
      </c>
      <c r="S1877" s="1" t="s">
        <v>42</v>
      </c>
      <c r="T1877" s="1" t="s">
        <v>203</v>
      </c>
      <c r="U1877" s="1">
        <v>337</v>
      </c>
      <c r="V1877" s="5">
        <v>43697</v>
      </c>
      <c r="W1877" s="5">
        <v>43307</v>
      </c>
      <c r="X1877" s="1">
        <v>3650000</v>
      </c>
      <c r="Y1877" s="1">
        <v>3650000</v>
      </c>
      <c r="Z1877" s="5">
        <v>43645</v>
      </c>
      <c r="AA1877" s="1">
        <v>3250000</v>
      </c>
      <c r="AB1877" s="1" t="s">
        <v>1427</v>
      </c>
      <c r="AC1877" s="5">
        <v>43644</v>
      </c>
      <c r="AF1877" s="1">
        <v>10065</v>
      </c>
      <c r="AI1877" s="1" t="s">
        <v>156</v>
      </c>
      <c r="AJ1877" s="1">
        <v>1967</v>
      </c>
      <c r="AK1877" s="1" t="s">
        <v>81</v>
      </c>
      <c r="AL1877" s="1">
        <v>113</v>
      </c>
    </row>
    <row r="1878" spans="1:38" x14ac:dyDescent="0.2">
      <c r="A1878" s="2" t="str">
        <f>HYPERLINK("https://www.compass.com/listing/200-east-62nd-street-unit-23b-manhattan-ny-10065/4786457713112540081/","200 E 62nd St, Unit 23B")</f>
        <v>200 E 62nd St, Unit 23B</v>
      </c>
      <c r="B1878" s="2" t="str">
        <f t="shared" si="314"/>
        <v>200 E 62</v>
      </c>
      <c r="C1878" s="1" t="s">
        <v>53</v>
      </c>
      <c r="D1878" s="1" t="s">
        <v>41</v>
      </c>
      <c r="E1878" s="3">
        <v>3265000</v>
      </c>
      <c r="F1878" s="1">
        <v>1926.25368731563</v>
      </c>
      <c r="G1878" s="1">
        <v>5.5</v>
      </c>
      <c r="H1878" s="1">
        <v>2</v>
      </c>
      <c r="I1878" s="1">
        <v>2</v>
      </c>
      <c r="J1878" s="1">
        <v>2.5</v>
      </c>
      <c r="K1878" s="1">
        <v>2</v>
      </c>
      <c r="L1878" s="1">
        <v>1</v>
      </c>
      <c r="M1878" s="4">
        <v>1695</v>
      </c>
      <c r="N1878" s="1">
        <v>1915</v>
      </c>
      <c r="O1878" s="1">
        <v>4005</v>
      </c>
      <c r="P1878" s="1">
        <v>2090</v>
      </c>
      <c r="Q1878" s="1" t="s">
        <v>42</v>
      </c>
      <c r="S1878" s="1" t="s">
        <v>42</v>
      </c>
      <c r="T1878" s="1" t="s">
        <v>203</v>
      </c>
      <c r="V1878" s="5">
        <v>43694</v>
      </c>
      <c r="W1878" s="5">
        <v>42979</v>
      </c>
      <c r="X1878" s="1">
        <v>3325000</v>
      </c>
      <c r="Y1878" s="1">
        <v>3325000</v>
      </c>
      <c r="Z1878" s="5">
        <v>42993</v>
      </c>
      <c r="AA1878" s="1">
        <v>3265000</v>
      </c>
      <c r="AB1878" s="1" t="s">
        <v>1428</v>
      </c>
      <c r="AC1878" s="5">
        <v>43005</v>
      </c>
      <c r="AF1878" s="1">
        <v>10065</v>
      </c>
      <c r="AI1878" s="1" t="s">
        <v>76</v>
      </c>
      <c r="AJ1878" s="1">
        <v>1967</v>
      </c>
      <c r="AK1878" s="1" t="s">
        <v>81</v>
      </c>
      <c r="AL1878" s="1">
        <v>113</v>
      </c>
    </row>
    <row r="1879" spans="1:38" x14ac:dyDescent="0.2">
      <c r="A1879" s="2" t="str">
        <f>HYPERLINK("https://www.compass.com/listing/200-east-62nd-street-unit-14e-manhattan-ny-10065/49041513879026449/","200 E 62nd St, Unit 14E")</f>
        <v>200 E 62nd St, Unit 14E</v>
      </c>
      <c r="B1879" s="2" t="str">
        <f t="shared" si="314"/>
        <v>200 E 62</v>
      </c>
      <c r="C1879" s="1" t="s">
        <v>53</v>
      </c>
      <c r="D1879" s="1" t="s">
        <v>41</v>
      </c>
      <c r="E1879" s="3">
        <v>3120936</v>
      </c>
      <c r="F1879" s="1">
        <v>1612.05371900826</v>
      </c>
      <c r="G1879" s="1">
        <v>4</v>
      </c>
      <c r="H1879" s="1">
        <v>2</v>
      </c>
      <c r="I1879" s="1">
        <v>3</v>
      </c>
      <c r="J1879" s="1">
        <v>2.5</v>
      </c>
      <c r="K1879" s="1">
        <v>2</v>
      </c>
      <c r="L1879" s="1">
        <v>1</v>
      </c>
      <c r="M1879" s="4">
        <v>1936</v>
      </c>
      <c r="N1879" s="1">
        <v>2010</v>
      </c>
      <c r="O1879" s="1">
        <v>4510</v>
      </c>
      <c r="P1879" s="1">
        <v>2500</v>
      </c>
      <c r="Q1879" s="1" t="s">
        <v>42</v>
      </c>
      <c r="S1879" s="1" t="s">
        <v>42</v>
      </c>
      <c r="T1879" s="1" t="s">
        <v>203</v>
      </c>
      <c r="U1879" s="1">
        <v>173</v>
      </c>
      <c r="V1879" s="5">
        <v>43648</v>
      </c>
      <c r="W1879" s="5">
        <v>43252</v>
      </c>
      <c r="X1879" s="1">
        <v>3375000</v>
      </c>
      <c r="Y1879" s="1">
        <v>3375000</v>
      </c>
      <c r="Z1879" s="5">
        <v>43425</v>
      </c>
      <c r="AA1879" s="1">
        <v>3120936</v>
      </c>
      <c r="AB1879" s="1" t="s">
        <v>1429</v>
      </c>
      <c r="AC1879" s="5">
        <v>43456</v>
      </c>
      <c r="AF1879" s="1">
        <v>10065</v>
      </c>
      <c r="AI1879" s="1" t="s">
        <v>156</v>
      </c>
      <c r="AJ1879" s="1">
        <v>1967</v>
      </c>
      <c r="AK1879" s="1" t="s">
        <v>81</v>
      </c>
      <c r="AL1879" s="1">
        <v>113</v>
      </c>
    </row>
    <row r="1880" spans="1:38" x14ac:dyDescent="0.2">
      <c r="A1880" s="2" t="str">
        <f>HYPERLINK("https://www.compass.com/listing/200-east-62nd-street-unit-11d-manhattan-ny-10065/29413949417988177/","200 E 62nd St, Unit 11D")</f>
        <v>200 E 62nd St, Unit 11D</v>
      </c>
      <c r="B1880" s="2" t="str">
        <f t="shared" si="314"/>
        <v>200 E 62</v>
      </c>
      <c r="C1880" s="1" t="s">
        <v>53</v>
      </c>
      <c r="D1880" s="1" t="s">
        <v>41</v>
      </c>
      <c r="E1880" s="3">
        <v>4095000</v>
      </c>
      <c r="F1880" s="1">
        <v>2068.1818181818098</v>
      </c>
      <c r="G1880" s="1">
        <v>6</v>
      </c>
      <c r="H1880" s="1">
        <v>3</v>
      </c>
      <c r="I1880" s="1">
        <v>2</v>
      </c>
      <c r="J1880" s="1">
        <v>2</v>
      </c>
      <c r="K1880" s="1">
        <v>2</v>
      </c>
      <c r="M1880" s="4">
        <v>1980</v>
      </c>
      <c r="N1880" s="1">
        <v>2124</v>
      </c>
      <c r="O1880" s="1">
        <v>4442</v>
      </c>
      <c r="P1880" s="1">
        <v>2318</v>
      </c>
      <c r="Q1880" s="1" t="s">
        <v>42</v>
      </c>
      <c r="S1880" s="1" t="s">
        <v>42</v>
      </c>
      <c r="T1880" s="1" t="s">
        <v>203</v>
      </c>
      <c r="V1880" s="5">
        <v>43635</v>
      </c>
      <c r="W1880" s="5">
        <v>42613</v>
      </c>
      <c r="X1880" s="1">
        <v>4095000</v>
      </c>
      <c r="Y1880" s="1">
        <v>4095000</v>
      </c>
      <c r="Z1880" s="5">
        <v>42613</v>
      </c>
      <c r="AA1880" s="1">
        <v>4095000</v>
      </c>
      <c r="AB1880" s="1" t="s">
        <v>1430</v>
      </c>
      <c r="AC1880" s="5">
        <v>42779</v>
      </c>
      <c r="AF1880" s="1">
        <v>10065</v>
      </c>
      <c r="AI1880" s="1" t="s">
        <v>156</v>
      </c>
      <c r="AJ1880" s="1">
        <v>1967</v>
      </c>
      <c r="AK1880" s="1" t="s">
        <v>81</v>
      </c>
      <c r="AL1880" s="1">
        <v>113</v>
      </c>
    </row>
    <row r="1881" spans="1:38" x14ac:dyDescent="0.2">
      <c r="A1881" s="2" t="str">
        <f>HYPERLINK("https://www.compass.com/listing/200-east-62nd-street-unit-14d-manhattan-ny-10065/29413951976513649/","200 E 62nd St, Unit 14D")</f>
        <v>200 E 62nd St, Unit 14D</v>
      </c>
      <c r="B1881" s="2" t="str">
        <f t="shared" si="314"/>
        <v>200 E 62</v>
      </c>
      <c r="C1881" s="1" t="s">
        <v>53</v>
      </c>
      <c r="D1881" s="1" t="s">
        <v>41</v>
      </c>
      <c r="E1881" s="3">
        <v>4302106</v>
      </c>
      <c r="F1881" s="1">
        <v>2141.41662518666</v>
      </c>
      <c r="G1881" s="1">
        <v>6</v>
      </c>
      <c r="H1881" s="1">
        <v>3</v>
      </c>
      <c r="I1881" s="1">
        <v>2</v>
      </c>
      <c r="J1881" s="1">
        <v>2</v>
      </c>
      <c r="K1881" s="1">
        <v>2</v>
      </c>
      <c r="M1881" s="4">
        <v>2009</v>
      </c>
      <c r="N1881" s="1">
        <v>2166</v>
      </c>
      <c r="O1881" s="1">
        <v>4530</v>
      </c>
      <c r="P1881" s="1">
        <v>2364</v>
      </c>
      <c r="Q1881" s="1" t="s">
        <v>42</v>
      </c>
      <c r="S1881" s="1" t="s">
        <v>42</v>
      </c>
      <c r="T1881" s="1" t="s">
        <v>203</v>
      </c>
      <c r="V1881" s="5">
        <v>43635</v>
      </c>
      <c r="W1881" s="5">
        <v>42525</v>
      </c>
      <c r="X1881" s="1">
        <v>4225000</v>
      </c>
      <c r="Y1881" s="1">
        <v>4225000</v>
      </c>
      <c r="Z1881" s="5">
        <v>42525</v>
      </c>
      <c r="AA1881" s="1">
        <v>4302106</v>
      </c>
      <c r="AB1881" s="1" t="s">
        <v>1431</v>
      </c>
      <c r="AC1881" s="5">
        <v>42531</v>
      </c>
      <c r="AF1881" s="1">
        <v>10065</v>
      </c>
      <c r="AI1881" s="1" t="s">
        <v>156</v>
      </c>
      <c r="AJ1881" s="1">
        <v>1967</v>
      </c>
      <c r="AK1881" s="1" t="s">
        <v>81</v>
      </c>
      <c r="AL1881" s="1">
        <v>113</v>
      </c>
    </row>
    <row r="1882" spans="1:38" x14ac:dyDescent="0.2">
      <c r="A1882" s="2" t="str">
        <f>HYPERLINK("https://www.compass.com/listing/200-east-62nd-street-unit-16d-manhattan-ny-10065/29413954392432785/","200 E 62nd St, Unit 16D")</f>
        <v>200 E 62nd St, Unit 16D</v>
      </c>
      <c r="B1882" s="2" t="str">
        <f t="shared" si="314"/>
        <v>200 E 62</v>
      </c>
      <c r="C1882" s="1" t="s">
        <v>53</v>
      </c>
      <c r="D1882" s="1" t="s">
        <v>41</v>
      </c>
      <c r="E1882" s="3">
        <v>4224350</v>
      </c>
      <c r="F1882" s="1">
        <v>2124.9245472837001</v>
      </c>
      <c r="G1882" s="1">
        <v>7</v>
      </c>
      <c r="H1882" s="1">
        <v>3</v>
      </c>
      <c r="I1882" s="1">
        <v>2</v>
      </c>
      <c r="J1882" s="1">
        <v>2</v>
      </c>
      <c r="K1882" s="1">
        <v>2</v>
      </c>
      <c r="M1882" s="4">
        <v>1988</v>
      </c>
      <c r="N1882" s="1">
        <v>2208</v>
      </c>
      <c r="O1882" s="1">
        <v>4618</v>
      </c>
      <c r="P1882" s="1">
        <v>2410</v>
      </c>
      <c r="Q1882" s="1" t="s">
        <v>42</v>
      </c>
      <c r="S1882" s="1" t="s">
        <v>42</v>
      </c>
      <c r="T1882" s="1" t="s">
        <v>203</v>
      </c>
      <c r="V1882" s="5">
        <v>43635</v>
      </c>
      <c r="W1882" s="5">
        <v>42571</v>
      </c>
      <c r="X1882" s="1">
        <v>4355000</v>
      </c>
      <c r="Y1882" s="1">
        <v>4355000</v>
      </c>
      <c r="Z1882" s="5">
        <v>42571</v>
      </c>
      <c r="AA1882" s="1">
        <v>4224350</v>
      </c>
      <c r="AB1882" s="1" t="s">
        <v>204</v>
      </c>
      <c r="AC1882" s="5">
        <v>42571</v>
      </c>
      <c r="AF1882" s="1">
        <v>10065</v>
      </c>
      <c r="AI1882" s="1" t="s">
        <v>156</v>
      </c>
      <c r="AJ1882" s="1">
        <v>1967</v>
      </c>
      <c r="AK1882" s="1" t="s">
        <v>81</v>
      </c>
      <c r="AL1882" s="1">
        <v>113</v>
      </c>
    </row>
    <row r="1883" spans="1:38" x14ac:dyDescent="0.2">
      <c r="A1883" s="2" t="str">
        <f>HYPERLINK("https://www.compass.com/listing/40-east-end-avenue-unit-3c-manhattan-ny-10028/29513349985289217/","40 E End Ave, Unit 3C")</f>
        <v>40 E End Ave, Unit 3C</v>
      </c>
      <c r="B1883" s="2" t="str">
        <f>HYPERLINK("https://www.compass.com/building/40-e-end-ave-manhattan-ny-10028/281986569399806037/","40 E End Ave")</f>
        <v>40 E End Ave</v>
      </c>
      <c r="C1883" s="1" t="s">
        <v>53</v>
      </c>
      <c r="D1883" s="1" t="s">
        <v>41</v>
      </c>
      <c r="E1883" s="3">
        <v>4755990</v>
      </c>
      <c r="F1883" s="1">
        <v>2151.0583446404298</v>
      </c>
      <c r="G1883" s="1">
        <v>5</v>
      </c>
      <c r="H1883" s="1">
        <v>3</v>
      </c>
      <c r="I1883" s="1">
        <v>4</v>
      </c>
      <c r="J1883" s="1">
        <v>3.5</v>
      </c>
      <c r="K1883" s="1">
        <v>3</v>
      </c>
      <c r="L1883" s="1">
        <v>1</v>
      </c>
      <c r="M1883" s="4">
        <v>2211</v>
      </c>
      <c r="N1883" s="1">
        <v>2224</v>
      </c>
      <c r="O1883" s="1">
        <v>5404</v>
      </c>
      <c r="P1883" s="1">
        <v>3180</v>
      </c>
      <c r="Q1883" s="1" t="s">
        <v>42</v>
      </c>
      <c r="S1883" s="1" t="s">
        <v>42</v>
      </c>
      <c r="T1883" s="1" t="s">
        <v>203</v>
      </c>
      <c r="U1883" s="1">
        <v>275</v>
      </c>
      <c r="V1883" s="5">
        <v>44406</v>
      </c>
      <c r="W1883" s="5">
        <v>44085</v>
      </c>
      <c r="X1883" s="1">
        <v>4755990</v>
      </c>
      <c r="Y1883" s="1">
        <v>4755990</v>
      </c>
      <c r="Z1883" s="5">
        <v>44361</v>
      </c>
      <c r="AA1883" s="1">
        <v>4755990</v>
      </c>
      <c r="AB1883" s="1" t="s">
        <v>204</v>
      </c>
      <c r="AC1883" s="5">
        <v>44405</v>
      </c>
      <c r="AF1883" s="1">
        <v>10028</v>
      </c>
      <c r="AJ1883" s="1">
        <v>2019</v>
      </c>
      <c r="AK1883" s="1" t="s">
        <v>81</v>
      </c>
      <c r="AL1883" s="1">
        <v>29</v>
      </c>
    </row>
    <row r="1884" spans="1:38" x14ac:dyDescent="0.2">
      <c r="A1884" s="2" t="str">
        <f>HYPERLINK("https://www.compass.com/listing/200-east-62nd-street-unit-29d-manhattan-ny-10065/16704285307939217/","200 E 62nd St, Unit 29D")</f>
        <v>200 E 62nd St, Unit 29D</v>
      </c>
      <c r="B1884" s="2" t="str">
        <f t="shared" ref="B1884:B1888" si="315">HYPERLINK("https://www.compass.com/building/200-e-62-manhattan-ny/282037506914928197/","200 E 62")</f>
        <v>200 E 62</v>
      </c>
      <c r="C1884" s="1" t="s">
        <v>53</v>
      </c>
      <c r="D1884" s="1" t="s">
        <v>41</v>
      </c>
      <c r="E1884" s="3">
        <v>4350000</v>
      </c>
      <c r="F1884" s="1">
        <v>2030.8123249299699</v>
      </c>
      <c r="G1884" s="1">
        <v>5</v>
      </c>
      <c r="H1884" s="1">
        <v>3</v>
      </c>
      <c r="I1884" s="1">
        <v>4</v>
      </c>
      <c r="J1884" s="1">
        <v>3.5</v>
      </c>
      <c r="K1884" s="1">
        <v>3</v>
      </c>
      <c r="L1884" s="1">
        <v>1</v>
      </c>
      <c r="M1884" s="4">
        <v>2142</v>
      </c>
      <c r="N1884" s="1">
        <v>2472</v>
      </c>
      <c r="O1884" s="1">
        <v>5913</v>
      </c>
      <c r="P1884" s="1">
        <v>3441</v>
      </c>
      <c r="Q1884" s="1" t="s">
        <v>42</v>
      </c>
      <c r="S1884" s="1" t="s">
        <v>42</v>
      </c>
      <c r="T1884" s="1" t="s">
        <v>203</v>
      </c>
      <c r="U1884" s="1">
        <v>57</v>
      </c>
      <c r="V1884" s="5">
        <v>43635</v>
      </c>
      <c r="W1884" s="5">
        <v>43433</v>
      </c>
      <c r="X1884" s="1">
        <v>4550000</v>
      </c>
      <c r="Y1884" s="1">
        <v>4550000</v>
      </c>
      <c r="Z1884" s="5">
        <v>43490</v>
      </c>
      <c r="AA1884" s="1">
        <v>4350000</v>
      </c>
      <c r="AB1884" s="1" t="s">
        <v>1432</v>
      </c>
      <c r="AC1884" s="5">
        <v>43544</v>
      </c>
      <c r="AF1884" s="1">
        <v>10065</v>
      </c>
      <c r="AI1884" s="1" t="s">
        <v>156</v>
      </c>
      <c r="AJ1884" s="1">
        <v>1967</v>
      </c>
      <c r="AK1884" s="1" t="s">
        <v>81</v>
      </c>
      <c r="AL1884" s="1">
        <v>113</v>
      </c>
    </row>
    <row r="1885" spans="1:38" x14ac:dyDescent="0.2">
      <c r="A1885" s="2" t="str">
        <f>HYPERLINK("https://www.compass.com/listing/200-east-62nd-street-unit-27e-manhattan-ny-10065/147709507718467777/","200 E 62nd St, Unit 27E")</f>
        <v>200 E 62nd St, Unit 27E</v>
      </c>
      <c r="B1885" s="2" t="str">
        <f t="shared" si="315"/>
        <v>200 E 62</v>
      </c>
      <c r="C1885" s="1" t="s">
        <v>53</v>
      </c>
      <c r="D1885" s="1" t="s">
        <v>41</v>
      </c>
      <c r="E1885" s="3">
        <v>4800000</v>
      </c>
      <c r="F1885" s="1">
        <v>1892.7444794952601</v>
      </c>
      <c r="G1885" s="1">
        <v>7</v>
      </c>
      <c r="H1885" s="1">
        <v>4</v>
      </c>
      <c r="I1885" s="1">
        <v>5</v>
      </c>
      <c r="J1885" s="1">
        <v>4.5</v>
      </c>
      <c r="K1885" s="1">
        <v>4</v>
      </c>
      <c r="L1885" s="1">
        <v>1</v>
      </c>
      <c r="M1885" s="4">
        <v>2536</v>
      </c>
      <c r="N1885" s="1">
        <v>3165</v>
      </c>
      <c r="O1885" s="1">
        <v>6619</v>
      </c>
      <c r="P1885" s="1">
        <v>3454</v>
      </c>
      <c r="Q1885" s="1" t="s">
        <v>661</v>
      </c>
      <c r="S1885" s="1" t="s">
        <v>345</v>
      </c>
      <c r="T1885" s="1" t="s">
        <v>203</v>
      </c>
      <c r="U1885" s="1">
        <v>72</v>
      </c>
      <c r="V1885" s="5">
        <v>43663</v>
      </c>
      <c r="W1885" s="5">
        <v>43383</v>
      </c>
      <c r="X1885" s="1">
        <v>5599000</v>
      </c>
      <c r="Y1885" s="1">
        <v>5350000</v>
      </c>
      <c r="Z1885" s="5">
        <v>43455</v>
      </c>
      <c r="AA1885" s="1">
        <v>4800000</v>
      </c>
      <c r="AB1885" s="1" t="s">
        <v>1433</v>
      </c>
      <c r="AC1885" s="5">
        <v>43502</v>
      </c>
      <c r="AF1885" s="1">
        <v>10065</v>
      </c>
      <c r="AI1885" s="1" t="s">
        <v>76</v>
      </c>
      <c r="AJ1885" s="1">
        <v>1967</v>
      </c>
      <c r="AK1885" s="1" t="s">
        <v>81</v>
      </c>
      <c r="AL1885" s="1">
        <v>113</v>
      </c>
    </row>
    <row r="1886" spans="1:38" x14ac:dyDescent="0.2">
      <c r="A1886" s="2" t="str">
        <f>HYPERLINK("https://www.compass.com/listing/200-east-62nd-street-unit-9d-manhattan-ny-10065/29413946331066369/","200 E 62nd St, Unit 9D")</f>
        <v>200 E 62nd St, Unit 9D</v>
      </c>
      <c r="B1886" s="2" t="str">
        <f t="shared" si="315"/>
        <v>200 E 62</v>
      </c>
      <c r="C1886" s="1" t="s">
        <v>53</v>
      </c>
      <c r="D1886" s="1" t="s">
        <v>41</v>
      </c>
      <c r="E1886" s="3">
        <v>4037361</v>
      </c>
      <c r="F1886" s="1">
        <v>2044.23341772151</v>
      </c>
      <c r="G1886" s="1">
        <v>5</v>
      </c>
      <c r="H1886" s="1">
        <v>3</v>
      </c>
      <c r="I1886" s="1">
        <v>3</v>
      </c>
      <c r="J1886" s="1">
        <v>3</v>
      </c>
      <c r="K1886" s="1">
        <v>3</v>
      </c>
      <c r="M1886" s="4">
        <v>1975</v>
      </c>
      <c r="N1886" s="1">
        <v>2081</v>
      </c>
      <c r="O1886" s="1">
        <v>4353</v>
      </c>
      <c r="P1886" s="1">
        <v>2272</v>
      </c>
      <c r="Q1886" s="1" t="s">
        <v>42</v>
      </c>
      <c r="S1886" s="1" t="s">
        <v>42</v>
      </c>
      <c r="T1886" s="1" t="s">
        <v>203</v>
      </c>
      <c r="U1886" s="1">
        <v>31</v>
      </c>
      <c r="V1886" s="5">
        <v>43635</v>
      </c>
      <c r="W1886" s="5">
        <v>42263</v>
      </c>
      <c r="X1886" s="1">
        <v>3965000</v>
      </c>
      <c r="Y1886" s="1">
        <v>3965000</v>
      </c>
      <c r="Z1886" s="5">
        <v>42294</v>
      </c>
      <c r="AA1886" s="1">
        <v>4037361</v>
      </c>
      <c r="AB1886" s="1" t="s">
        <v>1434</v>
      </c>
      <c r="AC1886" s="5">
        <v>42462</v>
      </c>
      <c r="AF1886" s="1">
        <v>10065</v>
      </c>
      <c r="AI1886" s="1" t="s">
        <v>156</v>
      </c>
      <c r="AJ1886" s="1">
        <v>1967</v>
      </c>
      <c r="AK1886" s="1" t="s">
        <v>81</v>
      </c>
      <c r="AL1886" s="1">
        <v>113</v>
      </c>
    </row>
    <row r="1887" spans="1:38" x14ac:dyDescent="0.2">
      <c r="A1887" s="2" t="str">
        <f>HYPERLINK("https://www.compass.com/listing/200-east-62nd-street-unit-15d-manhattan-ny-10065/29413953167696001/","200 E 62nd St, Unit 15D")</f>
        <v>200 E 62nd St, Unit 15D</v>
      </c>
      <c r="B1887" s="2" t="str">
        <f t="shared" si="315"/>
        <v>200 E 62</v>
      </c>
      <c r="C1887" s="1" t="s">
        <v>53</v>
      </c>
      <c r="D1887" s="1" t="s">
        <v>41</v>
      </c>
      <c r="E1887" s="3">
        <v>4247100</v>
      </c>
      <c r="F1887" s="1">
        <v>2150.4303797468301</v>
      </c>
      <c r="G1887" s="1">
        <v>5.5</v>
      </c>
      <c r="H1887" s="1">
        <v>3</v>
      </c>
      <c r="I1887" s="1">
        <v>2</v>
      </c>
      <c r="J1887" s="1">
        <v>2</v>
      </c>
      <c r="K1887" s="1">
        <v>2</v>
      </c>
      <c r="M1887" s="4">
        <v>1975</v>
      </c>
      <c r="N1887" s="1">
        <v>2187</v>
      </c>
      <c r="O1887" s="1">
        <v>4574</v>
      </c>
      <c r="P1887" s="1">
        <v>2387</v>
      </c>
      <c r="Q1887" s="1" t="s">
        <v>42</v>
      </c>
      <c r="S1887" s="1" t="s">
        <v>42</v>
      </c>
      <c r="T1887" s="1" t="s">
        <v>203</v>
      </c>
      <c r="U1887" s="1">
        <v>46</v>
      </c>
      <c r="V1887" s="5">
        <v>43665</v>
      </c>
      <c r="W1887" s="5">
        <v>42297</v>
      </c>
      <c r="X1887" s="1">
        <v>4290000</v>
      </c>
      <c r="Y1887" s="1">
        <v>4290000</v>
      </c>
      <c r="Z1887" s="5">
        <v>42343</v>
      </c>
      <c r="AA1887" s="1">
        <v>4247100</v>
      </c>
      <c r="AB1887" s="1" t="s">
        <v>1435</v>
      </c>
      <c r="AC1887" s="5">
        <v>42508</v>
      </c>
      <c r="AF1887" s="1">
        <v>10065</v>
      </c>
      <c r="AI1887" s="1" t="s">
        <v>156</v>
      </c>
      <c r="AJ1887" s="1">
        <v>1967</v>
      </c>
      <c r="AK1887" s="1" t="s">
        <v>81</v>
      </c>
      <c r="AL1887" s="1">
        <v>113</v>
      </c>
    </row>
    <row r="1888" spans="1:38" x14ac:dyDescent="0.2">
      <c r="A1888" s="2" t="str">
        <f>HYPERLINK("https://www.compass.com/listing/200-east-62nd-street-unit-19a-manhattan-ny-10065/4852281520766859745/","200 E 62nd St, Unit 19A")</f>
        <v>200 E 62nd St, Unit 19A</v>
      </c>
      <c r="B1888" s="2" t="str">
        <f t="shared" si="315"/>
        <v>200 E 62</v>
      </c>
      <c r="C1888" s="1" t="s">
        <v>53</v>
      </c>
      <c r="D1888" s="1" t="s">
        <v>41</v>
      </c>
      <c r="E1888" s="3">
        <v>3875000</v>
      </c>
      <c r="F1888" s="1">
        <v>1956.0827864714699</v>
      </c>
      <c r="G1888" s="1">
        <v>6</v>
      </c>
      <c r="H1888" s="1">
        <v>3</v>
      </c>
      <c r="I1888" s="1">
        <v>3</v>
      </c>
      <c r="J1888" s="1">
        <v>3</v>
      </c>
      <c r="K1888" s="1">
        <v>3</v>
      </c>
      <c r="M1888" s="4">
        <v>1981</v>
      </c>
      <c r="N1888" s="1">
        <v>2359</v>
      </c>
      <c r="O1888" s="1">
        <v>4934</v>
      </c>
      <c r="P1888" s="1">
        <v>2575</v>
      </c>
      <c r="Q1888" s="1" t="s">
        <v>42</v>
      </c>
      <c r="S1888" s="1" t="s">
        <v>42</v>
      </c>
      <c r="T1888" s="1" t="s">
        <v>203</v>
      </c>
      <c r="U1888" s="1">
        <v>119</v>
      </c>
      <c r="V1888" s="5">
        <v>43641</v>
      </c>
      <c r="W1888" s="5">
        <v>42837</v>
      </c>
      <c r="X1888" s="1">
        <v>4295000</v>
      </c>
      <c r="Y1888" s="1">
        <v>4150000</v>
      </c>
      <c r="Z1888" s="5">
        <v>42956</v>
      </c>
      <c r="AA1888" s="1">
        <v>3875000</v>
      </c>
      <c r="AB1888" s="1" t="s">
        <v>1436</v>
      </c>
      <c r="AC1888" s="5">
        <v>42986</v>
      </c>
      <c r="AF1888" s="1">
        <v>10065</v>
      </c>
      <c r="AI1888" s="1" t="s">
        <v>156</v>
      </c>
      <c r="AJ1888" s="1">
        <v>1967</v>
      </c>
      <c r="AK1888" s="1" t="s">
        <v>81</v>
      </c>
      <c r="AL1888" s="1">
        <v>113</v>
      </c>
    </row>
    <row r="1889" spans="1:38" x14ac:dyDescent="0.2">
      <c r="A1889" s="2" t="str">
        <f>HYPERLINK("https://www.compass.com/listing/318-west-47th-street-unit-3-manhattan-ny-10036/29387677866449313/","318 W 47th St, Unit 3")</f>
        <v>318 W 47th St, Unit 3</v>
      </c>
      <c r="B1889" s="2" t="str">
        <f t="shared" ref="B1889:B1890" si="316">HYPERLINK("https://www.compass.com/building/318-w-47th-st-manhattan-ny-10036/282023701371694037/","318 W 47th St")</f>
        <v>318 W 47th St</v>
      </c>
      <c r="C1889" s="1" t="s">
        <v>57</v>
      </c>
      <c r="D1889" s="1" t="s">
        <v>41</v>
      </c>
      <c r="E1889" s="3">
        <v>2367431</v>
      </c>
      <c r="F1889" s="1">
        <v>1803.0700685453101</v>
      </c>
      <c r="G1889" s="1">
        <v>4</v>
      </c>
      <c r="H1889" s="1">
        <v>2</v>
      </c>
      <c r="I1889" s="1">
        <v>2</v>
      </c>
      <c r="J1889" s="1">
        <v>2</v>
      </c>
      <c r="M1889" s="4">
        <v>1313</v>
      </c>
      <c r="N1889" s="1">
        <v>1424</v>
      </c>
      <c r="O1889" s="1">
        <v>1857</v>
      </c>
      <c r="P1889" s="1">
        <v>433</v>
      </c>
      <c r="Q1889" s="1" t="s">
        <v>42</v>
      </c>
      <c r="S1889" s="1" t="s">
        <v>42</v>
      </c>
      <c r="T1889" s="1" t="s">
        <v>203</v>
      </c>
      <c r="U1889" s="1">
        <v>158</v>
      </c>
      <c r="V1889" s="5">
        <v>43666</v>
      </c>
      <c r="W1889" s="5">
        <v>42633</v>
      </c>
      <c r="X1889" s="1">
        <v>2495000</v>
      </c>
      <c r="Y1889" s="1">
        <v>2195000</v>
      </c>
      <c r="Z1889" s="5">
        <v>42791</v>
      </c>
      <c r="AA1889" s="1">
        <v>2367431</v>
      </c>
      <c r="AB1889" s="1" t="s">
        <v>1437</v>
      </c>
      <c r="AC1889" s="5">
        <v>42943</v>
      </c>
      <c r="AF1889" s="1">
        <v>10036</v>
      </c>
      <c r="AI1889" s="1" t="s">
        <v>198</v>
      </c>
      <c r="AJ1889" s="1">
        <v>2016</v>
      </c>
      <c r="AK1889" s="1" t="s">
        <v>341</v>
      </c>
      <c r="AL1889" s="1">
        <v>5</v>
      </c>
    </row>
    <row r="1890" spans="1:38" x14ac:dyDescent="0.2">
      <c r="A1890" s="2" t="str">
        <f>HYPERLINK("https://www.compass.com/listing/318-west-47th-street-unit-4-manhattan-ny-10036/4852280034280355441/","318 W 47th St, Unit 4")</f>
        <v>318 W 47th St, Unit 4</v>
      </c>
      <c r="B1890" s="2" t="str">
        <f t="shared" si="316"/>
        <v>318 W 47th St</v>
      </c>
      <c r="C1890" s="1" t="s">
        <v>57</v>
      </c>
      <c r="D1890" s="1" t="s">
        <v>41</v>
      </c>
      <c r="E1890" s="3">
        <v>2325000</v>
      </c>
      <c r="F1890" s="1">
        <v>1770.75399847677</v>
      </c>
      <c r="G1890" s="1">
        <v>4</v>
      </c>
      <c r="H1890" s="1">
        <v>2</v>
      </c>
      <c r="I1890" s="1">
        <v>2</v>
      </c>
      <c r="J1890" s="1">
        <v>2</v>
      </c>
      <c r="M1890" s="4">
        <v>1313</v>
      </c>
      <c r="N1890" s="1">
        <v>1453</v>
      </c>
      <c r="O1890" s="1">
        <v>1896</v>
      </c>
      <c r="P1890" s="1">
        <v>443</v>
      </c>
      <c r="Q1890" s="1" t="s">
        <v>42</v>
      </c>
      <c r="S1890" s="1" t="s">
        <v>42</v>
      </c>
      <c r="T1890" s="1" t="s">
        <v>203</v>
      </c>
      <c r="U1890" s="1">
        <v>109</v>
      </c>
      <c r="V1890" s="5">
        <v>43665</v>
      </c>
      <c r="W1890" s="5">
        <v>42633</v>
      </c>
      <c r="X1890" s="1">
        <v>2550000</v>
      </c>
      <c r="Y1890" s="1">
        <v>2550000</v>
      </c>
      <c r="Z1890" s="5">
        <v>42763</v>
      </c>
      <c r="AA1890" s="1">
        <v>2325000</v>
      </c>
      <c r="AB1890" s="1" t="s">
        <v>204</v>
      </c>
      <c r="AC1890" s="5">
        <v>42957</v>
      </c>
      <c r="AF1890" s="1">
        <v>10036</v>
      </c>
      <c r="AI1890" s="1" t="s">
        <v>198</v>
      </c>
      <c r="AJ1890" s="1">
        <v>2016</v>
      </c>
      <c r="AK1890" s="1" t="s">
        <v>341</v>
      </c>
      <c r="AL1890" s="1">
        <v>5</v>
      </c>
    </row>
    <row r="1891" spans="1:38" x14ac:dyDescent="0.2">
      <c r="A1891" s="2" t="str">
        <f>HYPERLINK("https://www.compass.com/listing/200-east-62nd-street-unit-27a-manhattan-ny-10065/29413960205824193/","200 E 62nd St, Unit 27A")</f>
        <v>200 E 62nd St, Unit 27A</v>
      </c>
      <c r="B1891" s="2" t="str">
        <f t="shared" ref="B1891:B1894" si="317">HYPERLINK("https://www.compass.com/building/200-e-62-manhattan-ny/282037506914928197/","200 E 62")</f>
        <v>200 E 62</v>
      </c>
      <c r="C1891" s="1" t="s">
        <v>53</v>
      </c>
      <c r="D1891" s="1" t="s">
        <v>41</v>
      </c>
      <c r="E1891" s="3">
        <v>4149369</v>
      </c>
      <c r="F1891" s="1">
        <v>2456.7015985790399</v>
      </c>
      <c r="G1891" s="1">
        <v>5</v>
      </c>
      <c r="H1891" s="1">
        <v>2</v>
      </c>
      <c r="I1891" s="1">
        <v>2</v>
      </c>
      <c r="J1891" s="1">
        <v>2</v>
      </c>
      <c r="K1891" s="1">
        <v>2</v>
      </c>
      <c r="M1891" s="4">
        <v>1689</v>
      </c>
      <c r="N1891" s="1">
        <v>2053</v>
      </c>
      <c r="O1891" s="1">
        <v>4293</v>
      </c>
      <c r="P1891" s="1">
        <v>2240</v>
      </c>
      <c r="Q1891" s="1" t="s">
        <v>42</v>
      </c>
      <c r="S1891" s="1" t="s">
        <v>42</v>
      </c>
      <c r="T1891" s="1" t="s">
        <v>203</v>
      </c>
      <c r="V1891" s="5">
        <v>43635</v>
      </c>
      <c r="W1891" s="5">
        <v>42300</v>
      </c>
      <c r="X1891" s="1">
        <v>4075000</v>
      </c>
      <c r="Y1891" s="1">
        <v>4075000</v>
      </c>
      <c r="Z1891" s="5">
        <v>42300</v>
      </c>
      <c r="AA1891" s="1">
        <v>4149369</v>
      </c>
      <c r="AB1891" s="1" t="s">
        <v>1438</v>
      </c>
      <c r="AC1891" s="5">
        <v>42410</v>
      </c>
      <c r="AF1891" s="1">
        <v>10065</v>
      </c>
      <c r="AI1891" s="1" t="s">
        <v>156</v>
      </c>
      <c r="AJ1891" s="1">
        <v>1967</v>
      </c>
      <c r="AK1891" s="1" t="s">
        <v>81</v>
      </c>
      <c r="AL1891" s="1">
        <v>113</v>
      </c>
    </row>
    <row r="1892" spans="1:38" x14ac:dyDescent="0.2">
      <c r="A1892" s="2" t="str">
        <f>HYPERLINK("https://www.compass.com/listing/200-east-62nd-street-unit-30d-manhattan-ny-10065/29413961480892625/","200 E 62nd St, Unit 30D")</f>
        <v>200 E 62nd St, Unit 30D</v>
      </c>
      <c r="B1892" s="2" t="str">
        <f t="shared" si="317"/>
        <v>200 E 62</v>
      </c>
      <c r="C1892" s="1" t="s">
        <v>53</v>
      </c>
      <c r="D1892" s="1" t="s">
        <v>41</v>
      </c>
      <c r="E1892" s="3">
        <v>6879708</v>
      </c>
      <c r="F1892" s="1">
        <v>2254.90265486725</v>
      </c>
      <c r="G1892" s="1">
        <v>8</v>
      </c>
      <c r="H1892" s="1">
        <v>5</v>
      </c>
      <c r="I1892" s="1">
        <v>4</v>
      </c>
      <c r="J1892" s="1">
        <v>4.5</v>
      </c>
      <c r="K1892" s="1">
        <v>4</v>
      </c>
      <c r="L1892" s="1">
        <v>1</v>
      </c>
      <c r="M1892" s="4">
        <v>3051</v>
      </c>
      <c r="N1892" s="1">
        <v>3739</v>
      </c>
      <c r="O1892" s="1">
        <v>7844</v>
      </c>
      <c r="P1892" s="1">
        <v>4105</v>
      </c>
      <c r="Q1892" s="1" t="s">
        <v>42</v>
      </c>
      <c r="S1892" s="1" t="s">
        <v>42</v>
      </c>
      <c r="T1892" s="1" t="s">
        <v>203</v>
      </c>
      <c r="V1892" s="5">
        <v>42991</v>
      </c>
      <c r="W1892" s="5">
        <v>42773</v>
      </c>
      <c r="X1892" s="1">
        <v>6950000</v>
      </c>
      <c r="Y1892" s="1">
        <v>6950000</v>
      </c>
      <c r="Z1892" s="5">
        <v>42774</v>
      </c>
      <c r="AA1892" s="1">
        <v>6879708</v>
      </c>
      <c r="AB1892" s="1" t="s">
        <v>1439</v>
      </c>
      <c r="AC1892" s="5">
        <v>42961</v>
      </c>
      <c r="AF1892" s="1">
        <v>10065</v>
      </c>
      <c r="AI1892" s="1" t="s">
        <v>156</v>
      </c>
      <c r="AJ1892" s="1">
        <v>1967</v>
      </c>
      <c r="AK1892" s="1" t="s">
        <v>81</v>
      </c>
      <c r="AL1892" s="1">
        <v>113</v>
      </c>
    </row>
    <row r="1893" spans="1:38" x14ac:dyDescent="0.2">
      <c r="A1893" s="2" t="str">
        <f>HYPERLINK("https://www.compass.com/listing/200-east-62nd-street-unit-20e-manhattan-ny-10065/10135444633177441/","200 E 62nd St, Unit 20E")</f>
        <v>200 E 62nd St, Unit 20E</v>
      </c>
      <c r="B1893" s="2" t="str">
        <f t="shared" si="317"/>
        <v>200 E 62</v>
      </c>
      <c r="C1893" s="1" t="s">
        <v>53</v>
      </c>
      <c r="D1893" s="1" t="s">
        <v>41</v>
      </c>
      <c r="E1893" s="3">
        <v>4760319</v>
      </c>
      <c r="F1893" s="1">
        <v>2205.8937673772002</v>
      </c>
      <c r="G1893" s="1">
        <v>5</v>
      </c>
      <c r="H1893" s="1">
        <v>3</v>
      </c>
      <c r="I1893" s="1">
        <v>2</v>
      </c>
      <c r="J1893" s="1">
        <v>2.5</v>
      </c>
      <c r="K1893" s="1">
        <v>2</v>
      </c>
      <c r="L1893" s="1">
        <v>1</v>
      </c>
      <c r="M1893" s="4">
        <v>2158</v>
      </c>
      <c r="N1893" s="1">
        <v>2461</v>
      </c>
      <c r="O1893" s="1">
        <v>5566</v>
      </c>
      <c r="P1893" s="1">
        <v>3105</v>
      </c>
      <c r="Q1893" s="1" t="s">
        <v>42</v>
      </c>
      <c r="S1893" s="1" t="s">
        <v>42</v>
      </c>
      <c r="T1893" s="1" t="s">
        <v>203</v>
      </c>
      <c r="U1893" s="1">
        <v>269</v>
      </c>
      <c r="V1893" s="5">
        <v>43635</v>
      </c>
      <c r="W1893" s="5">
        <v>42935</v>
      </c>
      <c r="X1893" s="1">
        <v>4750000</v>
      </c>
      <c r="Y1893" s="1">
        <v>4750000</v>
      </c>
      <c r="Z1893" s="5">
        <v>43204</v>
      </c>
      <c r="AA1893" s="1">
        <v>4760318.75</v>
      </c>
      <c r="AB1893" s="1" t="s">
        <v>1440</v>
      </c>
      <c r="AC1893" s="5">
        <v>43263</v>
      </c>
      <c r="AF1893" s="1">
        <v>10065</v>
      </c>
      <c r="AI1893" s="1" t="s">
        <v>192</v>
      </c>
      <c r="AJ1893" s="1">
        <v>1967</v>
      </c>
      <c r="AK1893" s="1" t="s">
        <v>81</v>
      </c>
      <c r="AL1893" s="1">
        <v>113</v>
      </c>
    </row>
    <row r="1894" spans="1:38" x14ac:dyDescent="0.2">
      <c r="A1894" s="2" t="str">
        <f>HYPERLINK("https://www.compass.com/listing/200-east-62nd-street-unit-20d-manhattan-ny-10065/29641192597746833/","200 E 62nd St, Unit 20D")</f>
        <v>200 E 62nd St, Unit 20D</v>
      </c>
      <c r="B1894" s="2" t="str">
        <f t="shared" si="317"/>
        <v>200 E 62</v>
      </c>
      <c r="C1894" s="1" t="s">
        <v>53</v>
      </c>
      <c r="D1894" s="1" t="s">
        <v>41</v>
      </c>
      <c r="E1894" s="3">
        <v>4770000</v>
      </c>
      <c r="F1894" s="1">
        <v>2226.89075630252</v>
      </c>
      <c r="G1894" s="1">
        <v>5</v>
      </c>
      <c r="H1894" s="1">
        <v>3</v>
      </c>
      <c r="I1894" s="1">
        <v>3</v>
      </c>
      <c r="J1894" s="1">
        <v>3.5</v>
      </c>
      <c r="K1894" s="1">
        <v>3</v>
      </c>
      <c r="L1894" s="1">
        <v>1</v>
      </c>
      <c r="M1894" s="4">
        <v>2142</v>
      </c>
      <c r="N1894" s="1">
        <v>2527</v>
      </c>
      <c r="O1894" s="1">
        <v>6111</v>
      </c>
      <c r="P1894" s="1">
        <v>3584</v>
      </c>
      <c r="Q1894" s="1" t="s">
        <v>42</v>
      </c>
      <c r="S1894" s="1" t="s">
        <v>42</v>
      </c>
      <c r="T1894" s="1" t="s">
        <v>203</v>
      </c>
      <c r="U1894" s="1">
        <v>184</v>
      </c>
      <c r="V1894" s="5">
        <v>43650</v>
      </c>
      <c r="W1894" s="5">
        <v>43146</v>
      </c>
      <c r="X1894" s="1">
        <v>4895000</v>
      </c>
      <c r="Y1894" s="1">
        <v>4895000</v>
      </c>
      <c r="Z1894" s="5">
        <v>43330</v>
      </c>
      <c r="AA1894" s="1">
        <v>4770000</v>
      </c>
      <c r="AB1894" s="1" t="s">
        <v>1441</v>
      </c>
      <c r="AC1894" s="5">
        <v>43368</v>
      </c>
      <c r="AF1894" s="1">
        <v>10065</v>
      </c>
      <c r="AI1894" s="1" t="s">
        <v>192</v>
      </c>
      <c r="AJ1894" s="1">
        <v>1967</v>
      </c>
      <c r="AK1894" s="1" t="s">
        <v>81</v>
      </c>
      <c r="AL1894" s="1">
        <v>113</v>
      </c>
    </row>
    <row r="1895" spans="1:38" x14ac:dyDescent="0.2">
      <c r="A1895" s="2" t="str">
        <f>HYPERLINK("https://www.compass.com/listing/318-west-47th-street-unit-5-manhattan-ny-10036/4852280215272961233/","318 W 47th St, Unit 5")</f>
        <v>318 W 47th St, Unit 5</v>
      </c>
      <c r="B1895" s="2" t="str">
        <f t="shared" ref="B1895:B1896" si="318">HYPERLINK("https://www.compass.com/building/318-w-47th-st-manhattan-ny-10036/282023701371694037/","318 W 47th St")</f>
        <v>318 W 47th St</v>
      </c>
      <c r="C1895" s="1" t="s">
        <v>57</v>
      </c>
      <c r="D1895" s="1" t="s">
        <v>41</v>
      </c>
      <c r="E1895" s="3">
        <v>3156575</v>
      </c>
      <c r="F1895" s="1">
        <v>2404.09367859862</v>
      </c>
      <c r="G1895" s="1">
        <v>4</v>
      </c>
      <c r="H1895" s="1">
        <v>2</v>
      </c>
      <c r="I1895" s="1">
        <v>2</v>
      </c>
      <c r="J1895" s="1">
        <v>2</v>
      </c>
      <c r="M1895" s="4">
        <v>1313</v>
      </c>
      <c r="N1895" s="1">
        <v>1483</v>
      </c>
      <c r="O1895" s="1">
        <v>1935</v>
      </c>
      <c r="P1895" s="1">
        <v>452</v>
      </c>
      <c r="Q1895" s="1" t="s">
        <v>42</v>
      </c>
      <c r="S1895" s="1" t="s">
        <v>42</v>
      </c>
      <c r="T1895" s="1" t="s">
        <v>203</v>
      </c>
      <c r="U1895" s="1">
        <v>32</v>
      </c>
      <c r="V1895" s="5">
        <v>43665</v>
      </c>
      <c r="W1895" s="5">
        <v>42791</v>
      </c>
      <c r="X1895" s="1">
        <v>2450000</v>
      </c>
      <c r="Y1895" s="1">
        <v>2450000</v>
      </c>
      <c r="Z1895" s="5">
        <v>42823</v>
      </c>
      <c r="AA1895" s="1">
        <v>3156575</v>
      </c>
      <c r="AB1895" s="1" t="s">
        <v>1442</v>
      </c>
      <c r="AC1895" s="5">
        <v>43594</v>
      </c>
      <c r="AF1895" s="1">
        <v>10036</v>
      </c>
      <c r="AI1895" s="1" t="s">
        <v>198</v>
      </c>
      <c r="AJ1895" s="1">
        <v>2016</v>
      </c>
      <c r="AK1895" s="1" t="s">
        <v>341</v>
      </c>
      <c r="AL1895" s="1">
        <v>5</v>
      </c>
    </row>
    <row r="1896" spans="1:38" x14ac:dyDescent="0.2">
      <c r="A1896" s="2" t="str">
        <f>HYPERLINK("https://www.compass.com/listing/318-west-47th-street-unit-ph-manhattan-ny-10036/76032085512469537/","318 W 47th St, Unit PH")</f>
        <v>318 W 47th St, Unit PH</v>
      </c>
      <c r="B1896" s="2" t="str">
        <f t="shared" si="318"/>
        <v>318 W 47th St</v>
      </c>
      <c r="C1896" s="1" t="s">
        <v>57</v>
      </c>
      <c r="D1896" s="1" t="s">
        <v>41</v>
      </c>
      <c r="E1896" s="3">
        <v>3100000</v>
      </c>
      <c r="F1896" s="1">
        <v>1684.78260869565</v>
      </c>
      <c r="G1896" s="1">
        <v>5</v>
      </c>
      <c r="H1896" s="1">
        <v>3</v>
      </c>
      <c r="I1896" s="1">
        <v>3</v>
      </c>
      <c r="J1896" s="1">
        <v>2.5</v>
      </c>
      <c r="K1896" s="1">
        <v>2</v>
      </c>
      <c r="L1896" s="1">
        <v>1</v>
      </c>
      <c r="M1896" s="4">
        <v>1840</v>
      </c>
      <c r="N1896" s="1">
        <v>2270</v>
      </c>
      <c r="O1896" s="1">
        <v>3170</v>
      </c>
      <c r="P1896" s="1">
        <v>900</v>
      </c>
      <c r="Q1896" s="1" t="s">
        <v>42</v>
      </c>
      <c r="S1896" s="1" t="s">
        <v>42</v>
      </c>
      <c r="T1896" s="1" t="s">
        <v>203</v>
      </c>
      <c r="U1896" s="1">
        <v>222</v>
      </c>
      <c r="V1896" s="5">
        <v>43648</v>
      </c>
      <c r="W1896" s="5">
        <v>43357</v>
      </c>
      <c r="X1896" s="1">
        <v>3795000</v>
      </c>
      <c r="Y1896" s="1">
        <v>3325000</v>
      </c>
      <c r="Z1896" s="5">
        <v>43579</v>
      </c>
      <c r="AA1896" s="1">
        <v>3100000</v>
      </c>
      <c r="AB1896" s="1" t="s">
        <v>204</v>
      </c>
      <c r="AC1896" s="5">
        <v>43595</v>
      </c>
      <c r="AF1896" s="1">
        <v>10036</v>
      </c>
      <c r="AI1896" s="1" t="s">
        <v>969</v>
      </c>
      <c r="AJ1896" s="1">
        <v>2016</v>
      </c>
      <c r="AK1896" s="1" t="s">
        <v>91</v>
      </c>
      <c r="AL1896" s="1">
        <v>5</v>
      </c>
    </row>
    <row r="1897" spans="1:38" x14ac:dyDescent="0.2">
      <c r="A1897" s="2" t="str">
        <f>HYPERLINK("https://www.compass.com/listing/200-east-62nd-street-unit-27e-manhattan-ny-10065/4852283094796873473/","200 E 62nd St, Unit 27E")</f>
        <v>200 E 62nd St, Unit 27E</v>
      </c>
      <c r="B1897" s="2" t="str">
        <f t="shared" ref="B1897:B1898" si="319">HYPERLINK("https://www.compass.com/building/200-e-62-manhattan-ny/282037506914928197/","200 E 62")</f>
        <v>200 E 62</v>
      </c>
      <c r="C1897" s="1" t="s">
        <v>53</v>
      </c>
      <c r="D1897" s="1" t="s">
        <v>41</v>
      </c>
      <c r="E1897" s="3">
        <v>5000000</v>
      </c>
      <c r="F1897" s="1">
        <v>1971.60883280757</v>
      </c>
      <c r="G1897" s="1">
        <v>7</v>
      </c>
      <c r="H1897" s="1">
        <v>4</v>
      </c>
      <c r="I1897" s="1">
        <v>4</v>
      </c>
      <c r="J1897" s="1">
        <v>4.5</v>
      </c>
      <c r="K1897" s="1">
        <v>4</v>
      </c>
      <c r="L1897" s="1">
        <v>1</v>
      </c>
      <c r="M1897" s="4">
        <v>2536</v>
      </c>
      <c r="N1897" s="1">
        <v>3165</v>
      </c>
      <c r="O1897" s="1">
        <v>6619</v>
      </c>
      <c r="P1897" s="1">
        <v>3454</v>
      </c>
      <c r="Q1897" s="1" t="s">
        <v>42</v>
      </c>
      <c r="S1897" s="1" t="s">
        <v>42</v>
      </c>
      <c r="T1897" s="1" t="s">
        <v>203</v>
      </c>
      <c r="U1897" s="1">
        <v>772</v>
      </c>
      <c r="V1897" s="5">
        <v>43635</v>
      </c>
      <c r="W1897" s="5">
        <v>42200</v>
      </c>
      <c r="X1897" s="1">
        <v>6250000</v>
      </c>
      <c r="Y1897" s="1">
        <v>5200000</v>
      </c>
      <c r="Z1897" s="5">
        <v>42972</v>
      </c>
      <c r="AA1897" s="1">
        <v>5000000</v>
      </c>
      <c r="AB1897" s="1" t="s">
        <v>1443</v>
      </c>
      <c r="AC1897" s="5">
        <v>43014</v>
      </c>
      <c r="AF1897" s="1">
        <v>10065</v>
      </c>
      <c r="AI1897" s="1" t="s">
        <v>156</v>
      </c>
      <c r="AJ1897" s="1">
        <v>1967</v>
      </c>
      <c r="AK1897" s="1" t="s">
        <v>81</v>
      </c>
      <c r="AL1897" s="1">
        <v>113</v>
      </c>
    </row>
    <row r="1898" spans="1:38" x14ac:dyDescent="0.2">
      <c r="A1898" s="2" t="str">
        <f>HYPERLINK("https://www.compass.com/listing/200-east-62nd-street-unit-3c-manhattan-ny-10065/29413940383460065/","200 E 62nd St, Unit 3C")</f>
        <v>200 E 62nd St, Unit 3C</v>
      </c>
      <c r="B1898" s="2" t="str">
        <f t="shared" si="319"/>
        <v>200 E 62</v>
      </c>
      <c r="C1898" s="1" t="s">
        <v>53</v>
      </c>
      <c r="D1898" s="1" t="s">
        <v>41</v>
      </c>
      <c r="E1898" s="3">
        <v>2142143</v>
      </c>
      <c r="F1898" s="1">
        <v>1452.3003389830501</v>
      </c>
      <c r="G1898" s="1">
        <v>4</v>
      </c>
      <c r="H1898" s="1">
        <v>2</v>
      </c>
      <c r="I1898" s="1">
        <v>2</v>
      </c>
      <c r="J1898" s="1">
        <v>2.5</v>
      </c>
      <c r="K1898" s="1">
        <v>2</v>
      </c>
      <c r="L1898" s="1">
        <v>1</v>
      </c>
      <c r="M1898" s="4">
        <v>1475</v>
      </c>
      <c r="N1898" s="1">
        <v>1490</v>
      </c>
      <c r="O1898" s="1">
        <v>3117</v>
      </c>
      <c r="P1898" s="1">
        <v>1627</v>
      </c>
      <c r="Q1898" s="1" t="s">
        <v>42</v>
      </c>
      <c r="S1898" s="1" t="s">
        <v>42</v>
      </c>
      <c r="T1898" s="1" t="s">
        <v>203</v>
      </c>
      <c r="V1898" s="5">
        <v>43635</v>
      </c>
      <c r="W1898" s="5">
        <v>42306</v>
      </c>
      <c r="X1898" s="1">
        <v>2550000</v>
      </c>
      <c r="Y1898" s="1">
        <v>2550000</v>
      </c>
      <c r="Z1898" s="5">
        <v>42306</v>
      </c>
      <c r="AA1898" s="1">
        <v>2142143</v>
      </c>
      <c r="AB1898" s="1" t="s">
        <v>1444</v>
      </c>
      <c r="AC1898" s="5">
        <v>42405</v>
      </c>
      <c r="AF1898" s="1">
        <v>10065</v>
      </c>
      <c r="AI1898" s="1" t="s">
        <v>156</v>
      </c>
      <c r="AJ1898" s="1">
        <v>1967</v>
      </c>
      <c r="AK1898" s="1" t="s">
        <v>81</v>
      </c>
      <c r="AL1898" s="1">
        <v>113</v>
      </c>
    </row>
    <row r="1899" spans="1:38" x14ac:dyDescent="0.2">
      <c r="A1899" s="2" t="str">
        <f>HYPERLINK("https://www.compass.com/listing/40-east-end-avenue-unit-6c-manhattan-ny-10028/452168005691414481/","40 E End Ave, Unit 6C")</f>
        <v>40 E End Ave, Unit 6C</v>
      </c>
      <c r="B1899" s="2" t="str">
        <f>HYPERLINK("https://www.compass.com/building/40-e-end-ave-manhattan-ny-10028/281986569399806037/","40 E End Ave")</f>
        <v>40 E End Ave</v>
      </c>
      <c r="C1899" s="1" t="s">
        <v>53</v>
      </c>
      <c r="D1899" s="1" t="s">
        <v>41</v>
      </c>
      <c r="E1899" s="3">
        <v>13927603</v>
      </c>
      <c r="F1899" s="1">
        <v>2678.9003577611002</v>
      </c>
      <c r="G1899" s="1">
        <v>8</v>
      </c>
      <c r="H1899" s="1">
        <v>6</v>
      </c>
      <c r="I1899" s="1">
        <v>6</v>
      </c>
      <c r="J1899" s="1">
        <v>5.5</v>
      </c>
      <c r="K1899" s="1">
        <v>5</v>
      </c>
      <c r="L1899" s="1">
        <v>1</v>
      </c>
      <c r="M1899" s="4">
        <v>5199</v>
      </c>
      <c r="N1899" s="1">
        <v>5253</v>
      </c>
      <c r="O1899" s="1">
        <v>10004</v>
      </c>
      <c r="P1899" s="1">
        <v>4751</v>
      </c>
      <c r="Q1899" s="1" t="s">
        <v>42</v>
      </c>
      <c r="S1899" s="1" t="s">
        <v>42</v>
      </c>
      <c r="T1899" s="1" t="s">
        <v>203</v>
      </c>
      <c r="U1899" s="1">
        <v>288</v>
      </c>
      <c r="V1899" s="5">
        <v>43886</v>
      </c>
      <c r="W1899" s="5">
        <v>43584</v>
      </c>
      <c r="X1899" s="1">
        <v>12901980</v>
      </c>
      <c r="Y1899" s="1">
        <v>12901980</v>
      </c>
      <c r="AA1899" s="1">
        <v>13927602.960000001</v>
      </c>
      <c r="AB1899" s="1" t="s">
        <v>1445</v>
      </c>
      <c r="AC1899" s="5">
        <v>43872</v>
      </c>
      <c r="AF1899" s="1">
        <v>10028</v>
      </c>
      <c r="AI1899" s="1" t="s">
        <v>96</v>
      </c>
      <c r="AJ1899" s="1">
        <v>2019</v>
      </c>
      <c r="AK1899" s="1" t="s">
        <v>81</v>
      </c>
      <c r="AL1899" s="1">
        <v>29</v>
      </c>
    </row>
    <row r="1900" spans="1:38" x14ac:dyDescent="0.2">
      <c r="A1900" s="2" t="str">
        <f>HYPERLINK("https://www.compass.com/listing/200-east-62nd-street-unit-25b-manhattan-ny-10065/848290337864228977/","200 E 62nd St, Unit 25B")</f>
        <v>200 E 62nd St, Unit 25B</v>
      </c>
      <c r="B1900" s="2" t="str">
        <f t="shared" ref="B1900:B1901" si="320">HYPERLINK("https://www.compass.com/building/200-e-62-manhattan-ny/282037506914928197/","200 E 62")</f>
        <v>200 E 62</v>
      </c>
      <c r="C1900" s="1" t="s">
        <v>53</v>
      </c>
      <c r="D1900" s="1" t="s">
        <v>41</v>
      </c>
      <c r="E1900" s="3">
        <v>3300000</v>
      </c>
      <c r="F1900" s="1">
        <v>1946.90265486725</v>
      </c>
      <c r="H1900" s="1">
        <v>2</v>
      </c>
      <c r="J1900" s="1">
        <v>2.5</v>
      </c>
      <c r="K1900" s="1">
        <v>2</v>
      </c>
      <c r="L1900" s="1">
        <v>1</v>
      </c>
      <c r="M1900" s="4">
        <v>1695</v>
      </c>
      <c r="N1900" s="1">
        <v>1957</v>
      </c>
      <c r="O1900" s="1">
        <v>4093</v>
      </c>
      <c r="P1900" s="1">
        <v>2136</v>
      </c>
      <c r="Q1900" s="1" t="s">
        <v>42</v>
      </c>
      <c r="S1900" s="1" t="s">
        <v>42</v>
      </c>
      <c r="T1900" s="1" t="s">
        <v>203</v>
      </c>
      <c r="AA1900" s="1">
        <v>3300000</v>
      </c>
      <c r="AB1900" s="1" t="s">
        <v>1446</v>
      </c>
      <c r="AC1900" s="5">
        <v>44411</v>
      </c>
      <c r="AF1900" s="1">
        <v>10065</v>
      </c>
      <c r="AI1900" s="1" t="s">
        <v>156</v>
      </c>
      <c r="AJ1900" s="1">
        <v>1967</v>
      </c>
      <c r="AK1900" s="1" t="s">
        <v>50</v>
      </c>
      <c r="AL1900" s="1">
        <v>113</v>
      </c>
    </row>
    <row r="1901" spans="1:38" x14ac:dyDescent="0.2">
      <c r="A1901" s="2" t="str">
        <f>HYPERLINK("https://www.compass.com/listing/200-east-62nd-street-unit-16d-manhattan-ny-10065/841320638640085505/","200 E 62nd St, Unit 16D")</f>
        <v>200 E 62nd St, Unit 16D</v>
      </c>
      <c r="B1901" s="2" t="str">
        <f t="shared" si="320"/>
        <v>200 E 62</v>
      </c>
      <c r="C1901" s="1" t="s">
        <v>53</v>
      </c>
      <c r="D1901" s="1" t="s">
        <v>41</v>
      </c>
      <c r="E1901" s="3">
        <v>4224350</v>
      </c>
      <c r="F1901" s="1">
        <v>2124.9245472837001</v>
      </c>
      <c r="H1901" s="1">
        <v>3</v>
      </c>
      <c r="J1901" s="1">
        <v>2</v>
      </c>
      <c r="K1901" s="1">
        <v>2</v>
      </c>
      <c r="M1901" s="4">
        <v>1988</v>
      </c>
      <c r="N1901" s="1">
        <v>2208</v>
      </c>
      <c r="O1901" s="1">
        <v>4618</v>
      </c>
      <c r="P1901" s="1">
        <v>2410</v>
      </c>
      <c r="Q1901" s="1" t="s">
        <v>42</v>
      </c>
      <c r="S1901" s="1" t="s">
        <v>42</v>
      </c>
      <c r="T1901" s="1" t="s">
        <v>203</v>
      </c>
      <c r="AA1901" s="1">
        <v>4224350</v>
      </c>
      <c r="AB1901" s="1" t="s">
        <v>1447</v>
      </c>
      <c r="AC1901" s="5">
        <v>42570</v>
      </c>
      <c r="AF1901" s="1">
        <v>10065</v>
      </c>
      <c r="AI1901" s="1" t="s">
        <v>156</v>
      </c>
      <c r="AJ1901" s="1">
        <v>1967</v>
      </c>
      <c r="AK1901" s="1" t="s">
        <v>50</v>
      </c>
      <c r="AL1901" s="1">
        <v>113</v>
      </c>
    </row>
    <row r="1902" spans="1:38" x14ac:dyDescent="0.2">
      <c r="A1902" s="2" t="str">
        <f>HYPERLINK("https://www.compass.com/listing/318-west-47th-street-unit-2-manhattan-ny-10036/29387677539368721/","318 W 47th St, Unit 2")</f>
        <v>318 W 47th St, Unit 2</v>
      </c>
      <c r="B1902" s="2" t="str">
        <f>HYPERLINK("https://www.compass.com/building/318-w-47th-st-manhattan-ny-10036/282023701371694037/","318 W 47th St")</f>
        <v>318 W 47th St</v>
      </c>
      <c r="C1902" s="1" t="s">
        <v>57</v>
      </c>
      <c r="D1902" s="1" t="s">
        <v>41</v>
      </c>
      <c r="E1902" s="3">
        <v>2235059</v>
      </c>
      <c r="F1902" s="1">
        <v>1702.2534272657999</v>
      </c>
      <c r="H1902" s="1">
        <v>2</v>
      </c>
      <c r="J1902" s="1">
        <v>2</v>
      </c>
      <c r="K1902" s="1">
        <v>2</v>
      </c>
      <c r="M1902" s="4">
        <v>1313</v>
      </c>
      <c r="N1902" s="1">
        <v>1090</v>
      </c>
      <c r="O1902" s="1">
        <v>1523</v>
      </c>
      <c r="P1902" s="1">
        <v>433</v>
      </c>
      <c r="Q1902" s="1" t="s">
        <v>42</v>
      </c>
      <c r="S1902" s="1" t="s">
        <v>42</v>
      </c>
      <c r="T1902" s="1" t="s">
        <v>203</v>
      </c>
      <c r="AA1902" s="1">
        <v>2235058.75</v>
      </c>
      <c r="AB1902" s="1" t="s">
        <v>1448</v>
      </c>
      <c r="AC1902" s="5">
        <v>42951</v>
      </c>
      <c r="AF1902" s="1">
        <v>10036</v>
      </c>
      <c r="AI1902" s="1" t="s">
        <v>52</v>
      </c>
      <c r="AJ1902" s="1">
        <v>2016</v>
      </c>
      <c r="AL1902" s="1">
        <v>5</v>
      </c>
    </row>
    <row r="1903" spans="1:38" x14ac:dyDescent="0.2">
      <c r="A1903" s="2" t="str">
        <f>HYPERLINK("https://www.compass.com/listing/200-east-62nd-street-unit-3d-manhattan-ny-10065/4779208484346415041/","200 E 62nd St, Unit 3D")</f>
        <v>200 E 62nd St, Unit 3D</v>
      </c>
      <c r="B1903" s="2" t="str">
        <f t="shared" ref="B1903:B1904" si="321">HYPERLINK("https://www.compass.com/building/200-e-62-manhattan-ny/282037506914928197/","200 E 62")</f>
        <v>200 E 62</v>
      </c>
      <c r="C1903" s="1" t="s">
        <v>53</v>
      </c>
      <c r="D1903" s="1" t="s">
        <v>41</v>
      </c>
      <c r="E1903" s="3">
        <v>6000000</v>
      </c>
      <c r="F1903" s="1">
        <v>1901.7432646592699</v>
      </c>
      <c r="G1903" s="1">
        <v>7</v>
      </c>
      <c r="H1903" s="1">
        <v>4</v>
      </c>
      <c r="I1903" s="1">
        <v>3</v>
      </c>
      <c r="J1903" s="1">
        <v>3.5</v>
      </c>
      <c r="K1903" s="1">
        <v>3</v>
      </c>
      <c r="L1903" s="1">
        <v>1</v>
      </c>
      <c r="M1903" s="4">
        <v>3155</v>
      </c>
      <c r="N1903" s="1">
        <v>3415</v>
      </c>
      <c r="O1903" s="1">
        <v>7142</v>
      </c>
      <c r="P1903" s="1">
        <v>3727</v>
      </c>
      <c r="Q1903" s="1" t="s">
        <v>42</v>
      </c>
      <c r="S1903" s="1" t="s">
        <v>42</v>
      </c>
      <c r="T1903" s="1" t="s">
        <v>203</v>
      </c>
      <c r="U1903" s="1">
        <v>170</v>
      </c>
      <c r="V1903" s="5">
        <v>43635</v>
      </c>
      <c r="W1903" s="5">
        <v>42843</v>
      </c>
      <c r="X1903" s="1">
        <v>6350000</v>
      </c>
      <c r="Y1903" s="1">
        <v>6350000</v>
      </c>
      <c r="Z1903" s="5">
        <v>43013</v>
      </c>
      <c r="AA1903" s="1">
        <v>6000000</v>
      </c>
      <c r="AB1903" s="1" t="s">
        <v>1449</v>
      </c>
      <c r="AC1903" s="5">
        <v>43108</v>
      </c>
      <c r="AF1903" s="1">
        <v>10065</v>
      </c>
      <c r="AI1903" s="1" t="s">
        <v>192</v>
      </c>
      <c r="AJ1903" s="1">
        <v>1967</v>
      </c>
      <c r="AK1903" s="1" t="s">
        <v>81</v>
      </c>
      <c r="AL1903" s="1">
        <v>113</v>
      </c>
    </row>
    <row r="1904" spans="1:38" x14ac:dyDescent="0.2">
      <c r="A1904" s="2" t="str">
        <f>HYPERLINK("https://www.compass.com/listing/200-east-62nd-street-unit-12a-manhattan-ny-10065/29413950399458161/","200 E 62nd St, Unit 12A")</f>
        <v>200 E 62nd St, Unit 12A</v>
      </c>
      <c r="B1904" s="2" t="str">
        <f t="shared" si="321"/>
        <v>200 E 62</v>
      </c>
      <c r="C1904" s="1" t="s">
        <v>53</v>
      </c>
      <c r="D1904" s="1" t="s">
        <v>41</v>
      </c>
      <c r="E1904" s="3">
        <v>4043979</v>
      </c>
      <c r="F1904" s="1">
        <v>2041.38263503281</v>
      </c>
      <c r="G1904" s="1">
        <v>5</v>
      </c>
      <c r="H1904" s="1">
        <v>3</v>
      </c>
      <c r="I1904" s="1">
        <v>3</v>
      </c>
      <c r="J1904" s="1">
        <v>3</v>
      </c>
      <c r="K1904" s="1">
        <v>3</v>
      </c>
      <c r="M1904" s="4">
        <v>1981</v>
      </c>
      <c r="N1904" s="1">
        <v>2232</v>
      </c>
      <c r="O1904" s="1">
        <v>4695</v>
      </c>
      <c r="P1904" s="1">
        <v>2463</v>
      </c>
      <c r="Q1904" s="1" t="s">
        <v>42</v>
      </c>
      <c r="S1904" s="1" t="s">
        <v>42</v>
      </c>
      <c r="T1904" s="1" t="s">
        <v>203</v>
      </c>
      <c r="V1904" s="5">
        <v>43654</v>
      </c>
      <c r="W1904" s="5">
        <v>42306</v>
      </c>
      <c r="X1904" s="1">
        <v>4225000</v>
      </c>
      <c r="Y1904" s="1">
        <v>4225000</v>
      </c>
      <c r="Z1904" s="5">
        <v>42306</v>
      </c>
      <c r="AA1904" s="1">
        <v>4043979</v>
      </c>
      <c r="AB1904" s="1" t="s">
        <v>1450</v>
      </c>
      <c r="AC1904" s="5">
        <v>42448</v>
      </c>
      <c r="AF1904" s="1">
        <v>10065</v>
      </c>
      <c r="AI1904" s="1" t="s">
        <v>156</v>
      </c>
      <c r="AJ1904" s="1">
        <v>1967</v>
      </c>
      <c r="AK1904" s="1" t="s">
        <v>81</v>
      </c>
      <c r="AL1904" s="1">
        <v>113</v>
      </c>
    </row>
    <row r="1905" spans="1:38" x14ac:dyDescent="0.2">
      <c r="A1905" s="2" t="str">
        <f>HYPERLINK("https://www.compass.com/listing/318-west-47th-street-unit-mais-manhattan-ny-10036/76032085965443393/","318 W 47th St, Unit MAIS")</f>
        <v>318 W 47th St, Unit MAIS</v>
      </c>
      <c r="B1905" s="2" t="str">
        <f>HYPERLINK("https://www.compass.com/building/318-w-47th-st-manhattan-ny-10036/282023701371694037/","318 W 47th St")</f>
        <v>318 W 47th St</v>
      </c>
      <c r="C1905" s="1" t="s">
        <v>57</v>
      </c>
      <c r="D1905" s="1" t="s">
        <v>41</v>
      </c>
      <c r="E1905" s="3">
        <v>3990000</v>
      </c>
      <c r="F1905" s="1">
        <v>1112.97071129707</v>
      </c>
      <c r="G1905" s="1">
        <v>6</v>
      </c>
      <c r="H1905" s="1">
        <v>3</v>
      </c>
      <c r="I1905" s="1">
        <v>4</v>
      </c>
      <c r="J1905" s="1">
        <v>3.5</v>
      </c>
      <c r="K1905" s="1">
        <v>3</v>
      </c>
      <c r="L1905" s="1">
        <v>1</v>
      </c>
      <c r="M1905" s="4">
        <v>3585</v>
      </c>
      <c r="N1905" s="1">
        <v>2724</v>
      </c>
      <c r="O1905" s="1">
        <v>3804</v>
      </c>
      <c r="P1905" s="1">
        <v>1080</v>
      </c>
      <c r="Q1905" s="1" t="s">
        <v>42</v>
      </c>
      <c r="S1905" s="1" t="s">
        <v>42</v>
      </c>
      <c r="T1905" s="1" t="s">
        <v>203</v>
      </c>
      <c r="U1905" s="1">
        <v>141</v>
      </c>
      <c r="V1905" s="5">
        <v>43648</v>
      </c>
      <c r="W1905" s="5">
        <v>43357</v>
      </c>
      <c r="X1905" s="1">
        <v>4895000</v>
      </c>
      <c r="Y1905" s="1">
        <v>4275000</v>
      </c>
      <c r="Z1905" s="5">
        <v>43498</v>
      </c>
      <c r="AA1905" s="1">
        <v>3990000</v>
      </c>
      <c r="AB1905" s="1" t="s">
        <v>1451</v>
      </c>
      <c r="AC1905" s="5">
        <v>43537</v>
      </c>
      <c r="AF1905" s="1">
        <v>10036</v>
      </c>
      <c r="AI1905" s="1" t="s">
        <v>123</v>
      </c>
      <c r="AJ1905" s="1">
        <v>2016</v>
      </c>
      <c r="AL1905" s="1">
        <v>5</v>
      </c>
    </row>
    <row r="1906" spans="1:38" x14ac:dyDescent="0.2">
      <c r="A1906" s="2" t="str">
        <f>HYPERLINK("https://www.compass.com/listing/200-east-62nd-street-unit-23e-manhattan-ny-10065/29413957756350625/","200 E 62nd St, Unit 23E")</f>
        <v>200 E 62nd St, Unit 23E</v>
      </c>
      <c r="B1906" s="2" t="str">
        <f t="shared" ref="B1906:B1907" si="322">HYPERLINK("https://www.compass.com/building/200-e-62-manhattan-ny/282037506914928197/","200 E 62")</f>
        <v>200 E 62</v>
      </c>
      <c r="C1906" s="1" t="s">
        <v>53</v>
      </c>
      <c r="D1906" s="1" t="s">
        <v>41</v>
      </c>
      <c r="E1906" s="3">
        <v>4956332</v>
      </c>
      <c r="F1906" s="1">
        <v>1954.38958990536</v>
      </c>
      <c r="G1906" s="1">
        <v>6</v>
      </c>
      <c r="H1906" s="1">
        <v>4</v>
      </c>
      <c r="I1906" s="1">
        <v>4</v>
      </c>
      <c r="J1906" s="1">
        <v>4.5</v>
      </c>
      <c r="K1906" s="1">
        <v>4</v>
      </c>
      <c r="L1906" s="1">
        <v>1</v>
      </c>
      <c r="M1906" s="4">
        <v>2536</v>
      </c>
      <c r="N1906" s="1">
        <v>3052</v>
      </c>
      <c r="O1906" s="1">
        <v>6383</v>
      </c>
      <c r="P1906" s="1">
        <v>3331</v>
      </c>
      <c r="Q1906" s="1" t="s">
        <v>42</v>
      </c>
      <c r="S1906" s="1" t="s">
        <v>42</v>
      </c>
      <c r="T1906" s="1" t="s">
        <v>203</v>
      </c>
      <c r="V1906" s="5">
        <v>43635</v>
      </c>
      <c r="W1906" s="5">
        <v>42327</v>
      </c>
      <c r="X1906" s="1">
        <v>5900000</v>
      </c>
      <c r="Y1906" s="1">
        <v>5900000</v>
      </c>
      <c r="Z1906" s="5">
        <v>42327</v>
      </c>
      <c r="AA1906" s="1">
        <v>4956332</v>
      </c>
      <c r="AB1906" s="1" t="s">
        <v>1452</v>
      </c>
      <c r="AC1906" s="5">
        <v>42412</v>
      </c>
      <c r="AF1906" s="1">
        <v>10065</v>
      </c>
      <c r="AI1906" s="1" t="s">
        <v>156</v>
      </c>
      <c r="AJ1906" s="1">
        <v>1967</v>
      </c>
      <c r="AK1906" s="1" t="s">
        <v>81</v>
      </c>
      <c r="AL1906" s="1">
        <v>113</v>
      </c>
    </row>
    <row r="1907" spans="1:38" x14ac:dyDescent="0.2">
      <c r="A1907" s="2" t="str">
        <f>HYPERLINK("https://www.compass.com/listing/200-east-62nd-street-unit-3a-manhattan-ny-10065/4852275570467150161/","200 E 62nd St, Unit 3A")</f>
        <v>200 E 62nd St, Unit 3A</v>
      </c>
      <c r="B1907" s="2" t="str">
        <f t="shared" si="322"/>
        <v>200 E 62</v>
      </c>
      <c r="C1907" s="1" t="s">
        <v>53</v>
      </c>
      <c r="D1907" s="1" t="s">
        <v>41</v>
      </c>
      <c r="E1907" s="3">
        <v>6450000</v>
      </c>
      <c r="F1907" s="1">
        <v>2023.21204516938</v>
      </c>
      <c r="G1907" s="1">
        <v>8</v>
      </c>
      <c r="H1907" s="1">
        <v>5</v>
      </c>
      <c r="I1907" s="1">
        <v>4</v>
      </c>
      <c r="J1907" s="1">
        <v>4.5</v>
      </c>
      <c r="K1907" s="1">
        <v>4</v>
      </c>
      <c r="L1907" s="1">
        <v>1</v>
      </c>
      <c r="M1907" s="4">
        <v>3188</v>
      </c>
      <c r="N1907" s="1">
        <v>3490</v>
      </c>
      <c r="O1907" s="1">
        <v>7300</v>
      </c>
      <c r="P1907" s="1">
        <v>3810</v>
      </c>
      <c r="Q1907" s="1" t="s">
        <v>42</v>
      </c>
      <c r="S1907" s="1" t="s">
        <v>42</v>
      </c>
      <c r="T1907" s="1" t="s">
        <v>203</v>
      </c>
      <c r="V1907" s="5">
        <v>43635</v>
      </c>
      <c r="W1907" s="5">
        <v>42306</v>
      </c>
      <c r="X1907" s="1">
        <v>6450000</v>
      </c>
      <c r="Y1907" s="1">
        <v>6450000</v>
      </c>
      <c r="Z1907" s="5">
        <v>42306</v>
      </c>
      <c r="AA1907" s="1">
        <v>6450000</v>
      </c>
      <c r="AB1907" s="1" t="s">
        <v>204</v>
      </c>
      <c r="AC1907" s="5">
        <v>42405</v>
      </c>
      <c r="AF1907" s="1">
        <v>10065</v>
      </c>
      <c r="AI1907" s="1" t="s">
        <v>192</v>
      </c>
      <c r="AJ1907" s="1">
        <v>1967</v>
      </c>
      <c r="AK1907" s="1" t="s">
        <v>81</v>
      </c>
      <c r="AL1907" s="1">
        <v>113</v>
      </c>
    </row>
    <row r="1908" spans="1:38" x14ac:dyDescent="0.2">
      <c r="A1908" s="2" t="str">
        <f>HYPERLINK("https://www.compass.com/listing/131-west-122nd-street-unit-4b-manhattan-ny-10027/4852268019755257473/","131 W 122nd St, Unit 4B")</f>
        <v>131 W 122nd St, Unit 4B</v>
      </c>
      <c r="B1908" s="2" t="str">
        <f>HYPERLINK("https://www.compass.com/building/131-w-122nd-st-manhattan-ny-10027/281978369350923893/","131 W 122nd St")</f>
        <v>131 W 122nd St</v>
      </c>
      <c r="C1908" s="1" t="s">
        <v>131</v>
      </c>
      <c r="D1908" s="1" t="s">
        <v>41</v>
      </c>
      <c r="E1908" s="3">
        <v>1189000</v>
      </c>
      <c r="F1908" s="1">
        <v>1144.3695861405099</v>
      </c>
      <c r="G1908" s="1">
        <v>4</v>
      </c>
      <c r="H1908" s="1">
        <v>2</v>
      </c>
      <c r="I1908" s="1">
        <v>2</v>
      </c>
      <c r="J1908" s="1">
        <v>2</v>
      </c>
      <c r="M1908" s="4">
        <v>1039</v>
      </c>
      <c r="N1908" s="1">
        <v>626</v>
      </c>
      <c r="O1908" s="1">
        <v>1106</v>
      </c>
      <c r="P1908" s="1">
        <v>480</v>
      </c>
      <c r="Q1908" s="1" t="s">
        <v>42</v>
      </c>
      <c r="S1908" s="1" t="s">
        <v>42</v>
      </c>
      <c r="T1908" s="1" t="s">
        <v>203</v>
      </c>
      <c r="U1908" s="1">
        <v>104</v>
      </c>
      <c r="V1908" s="5">
        <v>43642</v>
      </c>
      <c r="W1908" s="5">
        <v>42608</v>
      </c>
      <c r="X1908" s="1">
        <v>1269000</v>
      </c>
      <c r="Y1908" s="1">
        <v>1169000</v>
      </c>
      <c r="Z1908" s="5">
        <v>42712</v>
      </c>
      <c r="AA1908" s="1">
        <v>1189000</v>
      </c>
      <c r="AB1908" s="1" t="s">
        <v>204</v>
      </c>
      <c r="AC1908" s="5">
        <v>42854</v>
      </c>
      <c r="AF1908" s="1">
        <v>10027</v>
      </c>
      <c r="AI1908" s="1" t="s">
        <v>148</v>
      </c>
      <c r="AJ1908" s="1">
        <v>1910</v>
      </c>
      <c r="AL1908" s="1">
        <v>10</v>
      </c>
    </row>
    <row r="1909" spans="1:38" x14ac:dyDescent="0.2">
      <c r="A1909" s="2" t="str">
        <f>HYPERLINK("https://www.compass.com/listing/375-west-123rd-street-unit-6b-manhattan-ny-10027/652881621087756641/","375 W 123rd St, Unit 6B")</f>
        <v>375 W 123rd St, Unit 6B</v>
      </c>
      <c r="B1909" s="2" t="str">
        <f t="shared" ref="B1909:B1910" si="323">HYPERLINK("https://www.compass.com/building/99-morningside-manhattan-ny/281983676789660549/","99 Morningside")</f>
        <v>99 Morningside</v>
      </c>
      <c r="C1909" s="1" t="s">
        <v>131</v>
      </c>
      <c r="D1909" s="1" t="s">
        <v>41</v>
      </c>
      <c r="E1909" s="3">
        <v>1565000</v>
      </c>
      <c r="F1909" s="1">
        <v>1228.4144427001499</v>
      </c>
      <c r="G1909" s="1">
        <v>4</v>
      </c>
      <c r="H1909" s="1">
        <v>2</v>
      </c>
      <c r="I1909" s="1">
        <v>2</v>
      </c>
      <c r="J1909" s="1">
        <v>2</v>
      </c>
      <c r="K1909" s="1">
        <v>2</v>
      </c>
      <c r="M1909" s="4">
        <v>1274</v>
      </c>
      <c r="N1909" s="1">
        <v>1193</v>
      </c>
      <c r="O1909" s="1">
        <v>2059</v>
      </c>
      <c r="P1909" s="1">
        <v>866</v>
      </c>
      <c r="Q1909" s="1" t="s">
        <v>42</v>
      </c>
      <c r="S1909" s="1" t="s">
        <v>42</v>
      </c>
      <c r="T1909" s="1" t="s">
        <v>203</v>
      </c>
      <c r="U1909" s="1">
        <v>15</v>
      </c>
      <c r="V1909" s="5">
        <v>44407</v>
      </c>
      <c r="W1909" s="5">
        <v>44137</v>
      </c>
      <c r="X1909" s="1">
        <v>1565000</v>
      </c>
      <c r="Y1909" s="1">
        <v>1565000</v>
      </c>
      <c r="Z1909" s="5">
        <v>44152</v>
      </c>
      <c r="AA1909" s="1">
        <v>1565000</v>
      </c>
      <c r="AB1909" s="1" t="s">
        <v>204</v>
      </c>
      <c r="AC1909" s="5">
        <v>44383</v>
      </c>
      <c r="AF1909" s="1">
        <v>10027</v>
      </c>
      <c r="AI1909" s="1" t="s">
        <v>132</v>
      </c>
      <c r="AJ1909" s="1">
        <v>2016</v>
      </c>
      <c r="AK1909" s="1" t="s">
        <v>133</v>
      </c>
      <c r="AL1909" s="1">
        <v>22</v>
      </c>
    </row>
    <row r="1910" spans="1:38" x14ac:dyDescent="0.2">
      <c r="A1910" s="2" t="str">
        <f>HYPERLINK("https://www.compass.com/listing/375-west-123rd-street-unit-9a-manhattan-ny-10027/652881617522882793/","375 W 123rd St, Unit 9A")</f>
        <v>375 W 123rd St, Unit 9A</v>
      </c>
      <c r="B1910" s="2" t="str">
        <f t="shared" si="323"/>
        <v>99 Morningside</v>
      </c>
      <c r="C1910" s="1" t="s">
        <v>131</v>
      </c>
      <c r="D1910" s="1" t="s">
        <v>41</v>
      </c>
      <c r="E1910" s="3">
        <v>1531600</v>
      </c>
      <c r="F1910" s="1">
        <v>1400</v>
      </c>
      <c r="G1910" s="1">
        <v>4</v>
      </c>
      <c r="H1910" s="1">
        <v>2</v>
      </c>
      <c r="I1910" s="1">
        <v>2</v>
      </c>
      <c r="J1910" s="1">
        <v>2</v>
      </c>
      <c r="K1910" s="1">
        <v>2</v>
      </c>
      <c r="M1910" s="4">
        <v>1094</v>
      </c>
      <c r="N1910" s="1">
        <v>1017</v>
      </c>
      <c r="O1910" s="1">
        <v>1612</v>
      </c>
      <c r="P1910" s="1">
        <v>595</v>
      </c>
      <c r="Q1910" s="1" t="s">
        <v>42</v>
      </c>
      <c r="S1910" s="1" t="s">
        <v>42</v>
      </c>
      <c r="T1910" s="1" t="s">
        <v>203</v>
      </c>
      <c r="U1910" s="1">
        <v>15</v>
      </c>
      <c r="V1910" s="5">
        <v>44371</v>
      </c>
      <c r="W1910" s="5">
        <v>44137</v>
      </c>
      <c r="X1910" s="1">
        <v>1590000</v>
      </c>
      <c r="Y1910" s="1">
        <v>1590000</v>
      </c>
      <c r="Z1910" s="5">
        <v>44152</v>
      </c>
      <c r="AA1910" s="1">
        <v>1531600</v>
      </c>
      <c r="AB1910" s="1" t="s">
        <v>204</v>
      </c>
      <c r="AC1910" s="5">
        <v>44369</v>
      </c>
      <c r="AF1910" s="1">
        <v>10027</v>
      </c>
      <c r="AI1910" s="1" t="s">
        <v>159</v>
      </c>
      <c r="AJ1910" s="1">
        <v>2016</v>
      </c>
      <c r="AK1910" s="1" t="s">
        <v>133</v>
      </c>
      <c r="AL1910" s="1">
        <v>22</v>
      </c>
    </row>
    <row r="1911" spans="1:38" x14ac:dyDescent="0.2">
      <c r="A1911" s="2" t="str">
        <f>HYPERLINK("https://www.compass.com/listing/131-west-122nd-street-unit-1a-manhattan-ny-10027/4852274104197187009/","131 W 122nd St, Unit 1A")</f>
        <v>131 W 122nd St, Unit 1A</v>
      </c>
      <c r="B1911" s="2" t="str">
        <f>HYPERLINK("https://www.compass.com/building/131-w-122nd-st-manhattan-ny-10027/281978369350923893/","131 W 122nd St")</f>
        <v>131 W 122nd St</v>
      </c>
      <c r="C1911" s="1" t="s">
        <v>131</v>
      </c>
      <c r="D1911" s="1" t="s">
        <v>41</v>
      </c>
      <c r="E1911" s="3">
        <v>1519000</v>
      </c>
      <c r="F1911" s="1">
        <v>1139.5348837209301</v>
      </c>
      <c r="G1911" s="1">
        <v>4</v>
      </c>
      <c r="H1911" s="1">
        <v>3</v>
      </c>
      <c r="I1911" s="1">
        <v>2</v>
      </c>
      <c r="J1911" s="1">
        <v>2</v>
      </c>
      <c r="K1911" s="1">
        <v>2</v>
      </c>
      <c r="M1911" s="4">
        <v>1333</v>
      </c>
      <c r="N1911" s="1">
        <v>847</v>
      </c>
      <c r="O1911" s="1">
        <v>1496</v>
      </c>
      <c r="P1911" s="1">
        <v>649</v>
      </c>
      <c r="Q1911" s="1" t="s">
        <v>42</v>
      </c>
      <c r="S1911" s="1" t="s">
        <v>42</v>
      </c>
      <c r="T1911" s="1" t="s">
        <v>203</v>
      </c>
      <c r="U1911" s="1">
        <v>85</v>
      </c>
      <c r="V1911" s="5">
        <v>44225</v>
      </c>
      <c r="W1911" s="5">
        <v>42692</v>
      </c>
      <c r="X1911" s="1">
        <v>1599000</v>
      </c>
      <c r="Y1911" s="1">
        <v>1599000</v>
      </c>
      <c r="Z1911" s="5">
        <v>42777</v>
      </c>
      <c r="AA1911" s="1">
        <v>1519000</v>
      </c>
      <c r="AB1911" s="1" t="s">
        <v>1453</v>
      </c>
      <c r="AC1911" s="5">
        <v>42903</v>
      </c>
      <c r="AF1911" s="1">
        <v>10027</v>
      </c>
      <c r="AI1911" s="1" t="s">
        <v>1454</v>
      </c>
      <c r="AJ1911" s="1">
        <v>1910</v>
      </c>
      <c r="AL1911" s="1">
        <v>10</v>
      </c>
    </row>
    <row r="1912" spans="1:38" x14ac:dyDescent="0.2">
      <c r="A1912" s="2" t="str">
        <f>HYPERLINK("https://www.compass.com/listing/375-west-123rd-street-unit-9b-manhattan-ny-10027/718938470101013489/","375 W 123rd St, Unit 9B")</f>
        <v>375 W 123rd St, Unit 9B</v>
      </c>
      <c r="B1912" s="2" t="str">
        <f>HYPERLINK("https://www.compass.com/building/99-morningside-manhattan-ny/281983676789660549/","99 Morningside")</f>
        <v>99 Morningside</v>
      </c>
      <c r="C1912" s="1" t="s">
        <v>131</v>
      </c>
      <c r="D1912" s="1" t="s">
        <v>41</v>
      </c>
      <c r="E1912" s="3">
        <v>2734500</v>
      </c>
      <c r="F1912" s="1">
        <v>1500</v>
      </c>
      <c r="G1912" s="1">
        <v>6</v>
      </c>
      <c r="H1912" s="1">
        <v>4</v>
      </c>
      <c r="I1912" s="1">
        <v>3</v>
      </c>
      <c r="J1912" s="1">
        <v>2</v>
      </c>
      <c r="K1912" s="1">
        <v>2</v>
      </c>
      <c r="M1912" s="4">
        <v>1823</v>
      </c>
      <c r="N1912" s="1">
        <v>1664</v>
      </c>
      <c r="O1912" s="1">
        <v>3259</v>
      </c>
      <c r="P1912" s="1">
        <v>1595</v>
      </c>
      <c r="Q1912" s="1" t="s">
        <v>42</v>
      </c>
      <c r="S1912" s="1" t="s">
        <v>42</v>
      </c>
      <c r="T1912" s="1" t="s">
        <v>203</v>
      </c>
      <c r="U1912" s="1">
        <v>106</v>
      </c>
      <c r="V1912" s="5">
        <v>44376</v>
      </c>
      <c r="W1912" s="5">
        <v>44137</v>
      </c>
      <c r="X1912" s="1">
        <v>2825000</v>
      </c>
      <c r="Y1912" s="1">
        <v>2825000</v>
      </c>
      <c r="Z1912" s="5">
        <v>44244</v>
      </c>
      <c r="AA1912" s="1">
        <v>2734500</v>
      </c>
      <c r="AB1912" s="1" t="s">
        <v>204</v>
      </c>
      <c r="AC1912" s="5">
        <v>44375</v>
      </c>
      <c r="AF1912" s="1">
        <v>10027</v>
      </c>
      <c r="AI1912" s="1" t="s">
        <v>159</v>
      </c>
      <c r="AJ1912" s="1">
        <v>2016</v>
      </c>
      <c r="AK1912" s="1" t="s">
        <v>133</v>
      </c>
      <c r="AL1912" s="1">
        <v>22</v>
      </c>
    </row>
    <row r="1913" spans="1:38" x14ac:dyDescent="0.2">
      <c r="A1913" s="2" t="str">
        <f>HYPERLINK("https://www.compass.com/listing/131-west-122nd-street-unit-4a-manhattan-ny-10027/4852267945105044385/","131 W 122nd St, Unit 4A")</f>
        <v>131 W 122nd St, Unit 4A</v>
      </c>
      <c r="B1913" s="2" t="str">
        <f t="shared" ref="B1913:B1919" si="324">HYPERLINK("https://www.compass.com/building/131-w-122nd-st-manhattan-ny-10027/281978369350923893/","131 W 122nd St")</f>
        <v>131 W 122nd St</v>
      </c>
      <c r="C1913" s="1" t="s">
        <v>131</v>
      </c>
      <c r="D1913" s="1" t="s">
        <v>41</v>
      </c>
      <c r="E1913" s="3">
        <v>1099000</v>
      </c>
      <c r="F1913" s="1">
        <v>1169.1489361702099</v>
      </c>
      <c r="G1913" s="1">
        <v>4</v>
      </c>
      <c r="H1913" s="1">
        <v>2</v>
      </c>
      <c r="I1913" s="1">
        <v>2</v>
      </c>
      <c r="J1913" s="1">
        <v>2</v>
      </c>
      <c r="M1913" s="1">
        <v>940</v>
      </c>
      <c r="N1913" s="1">
        <v>565</v>
      </c>
      <c r="O1913" s="1">
        <v>998</v>
      </c>
      <c r="P1913" s="1">
        <v>433</v>
      </c>
      <c r="Q1913" s="1" t="s">
        <v>42</v>
      </c>
      <c r="S1913" s="1" t="s">
        <v>42</v>
      </c>
      <c r="T1913" s="1" t="s">
        <v>203</v>
      </c>
      <c r="U1913" s="1">
        <v>79</v>
      </c>
      <c r="V1913" s="5">
        <v>43665</v>
      </c>
      <c r="W1913" s="5">
        <v>42635</v>
      </c>
      <c r="X1913" s="1">
        <v>1149000</v>
      </c>
      <c r="Y1913" s="1">
        <v>1079000</v>
      </c>
      <c r="Z1913" s="5">
        <v>42714</v>
      </c>
      <c r="AA1913" s="1">
        <v>1099000</v>
      </c>
      <c r="AB1913" s="1" t="s">
        <v>204</v>
      </c>
      <c r="AC1913" s="5">
        <v>42864</v>
      </c>
      <c r="AF1913" s="1">
        <v>10027</v>
      </c>
      <c r="AI1913" s="1" t="s">
        <v>93</v>
      </c>
      <c r="AJ1913" s="1">
        <v>1910</v>
      </c>
      <c r="AL1913" s="1">
        <v>10</v>
      </c>
    </row>
    <row r="1914" spans="1:38" x14ac:dyDescent="0.2">
      <c r="A1914" s="2" t="str">
        <f>HYPERLINK("https://www.compass.com/listing/131-west-122nd-street-unit-3b-manhattan-ny-10027/4852268069541649185/","131 W 122nd St, Unit 3B")</f>
        <v>131 W 122nd St, Unit 3B</v>
      </c>
      <c r="B1914" s="2" t="str">
        <f t="shared" si="324"/>
        <v>131 W 122nd St</v>
      </c>
      <c r="C1914" s="1" t="s">
        <v>131</v>
      </c>
      <c r="D1914" s="1" t="s">
        <v>41</v>
      </c>
      <c r="E1914" s="3">
        <v>877222</v>
      </c>
      <c r="F1914" s="1">
        <v>1149.7016775884599</v>
      </c>
      <c r="G1914" s="1">
        <v>4</v>
      </c>
      <c r="H1914" s="1">
        <v>2</v>
      </c>
      <c r="I1914" s="1">
        <v>2</v>
      </c>
      <c r="J1914" s="1">
        <v>2</v>
      </c>
      <c r="M1914" s="1">
        <v>763</v>
      </c>
      <c r="N1914" s="1">
        <v>441</v>
      </c>
      <c r="O1914" s="1">
        <v>779</v>
      </c>
      <c r="P1914" s="1">
        <v>338</v>
      </c>
      <c r="Q1914" s="1" t="s">
        <v>42</v>
      </c>
      <c r="S1914" s="1" t="s">
        <v>42</v>
      </c>
      <c r="T1914" s="1" t="s">
        <v>203</v>
      </c>
      <c r="U1914" s="1">
        <v>269</v>
      </c>
      <c r="V1914" s="5">
        <v>43637</v>
      </c>
      <c r="W1914" s="5">
        <v>42608</v>
      </c>
      <c r="X1914" s="1">
        <v>939000</v>
      </c>
      <c r="Y1914" s="1">
        <v>845000</v>
      </c>
      <c r="AA1914" s="1">
        <v>877222.38</v>
      </c>
      <c r="AB1914" s="1" t="s">
        <v>1455</v>
      </c>
      <c r="AC1914" s="5">
        <v>42877</v>
      </c>
      <c r="AF1914" s="1">
        <v>10027</v>
      </c>
      <c r="AI1914" s="1" t="s">
        <v>148</v>
      </c>
      <c r="AJ1914" s="1">
        <v>1910</v>
      </c>
      <c r="AL1914" s="1">
        <v>10</v>
      </c>
    </row>
    <row r="1915" spans="1:38" x14ac:dyDescent="0.2">
      <c r="A1915" s="2" t="str">
        <f>HYPERLINK("https://www.compass.com/listing/131-west-122nd-street-unit-2a-manhattan-ny-10027/4852268162260940721/","131 W 122nd St, Unit 2A")</f>
        <v>131 W 122nd St, Unit 2A</v>
      </c>
      <c r="B1915" s="2" t="str">
        <f t="shared" si="324"/>
        <v>131 W 122nd St</v>
      </c>
      <c r="C1915" s="1" t="s">
        <v>131</v>
      </c>
      <c r="D1915" s="1" t="s">
        <v>41</v>
      </c>
      <c r="E1915" s="3">
        <v>826473</v>
      </c>
      <c r="F1915" s="1">
        <v>1160.7766853932501</v>
      </c>
      <c r="G1915" s="1">
        <v>3</v>
      </c>
      <c r="H1915" s="1">
        <v>1</v>
      </c>
      <c r="I1915" s="1">
        <v>1</v>
      </c>
      <c r="J1915" s="1">
        <v>1</v>
      </c>
      <c r="M1915" s="1">
        <v>712</v>
      </c>
      <c r="N1915" s="1">
        <v>404</v>
      </c>
      <c r="O1915" s="1">
        <v>714</v>
      </c>
      <c r="P1915" s="1">
        <v>310</v>
      </c>
      <c r="Q1915" s="1" t="s">
        <v>42</v>
      </c>
      <c r="S1915" s="1" t="s">
        <v>42</v>
      </c>
      <c r="T1915" s="1" t="s">
        <v>203</v>
      </c>
      <c r="U1915" s="1">
        <v>118</v>
      </c>
      <c r="V1915" s="5">
        <v>43668</v>
      </c>
      <c r="W1915" s="5">
        <v>42624</v>
      </c>
      <c r="X1915" s="1">
        <v>849000</v>
      </c>
      <c r="Y1915" s="1">
        <v>799000</v>
      </c>
      <c r="Z1915" s="5">
        <v>42742</v>
      </c>
      <c r="AA1915" s="1">
        <v>826473</v>
      </c>
      <c r="AB1915" s="1" t="s">
        <v>1456</v>
      </c>
      <c r="AC1915" s="5">
        <v>42870</v>
      </c>
      <c r="AF1915" s="1">
        <v>10027</v>
      </c>
      <c r="AI1915" s="1" t="s">
        <v>98</v>
      </c>
      <c r="AJ1915" s="1">
        <v>1910</v>
      </c>
      <c r="AL1915" s="1">
        <v>10</v>
      </c>
    </row>
    <row r="1916" spans="1:38" x14ac:dyDescent="0.2">
      <c r="A1916" s="2" t="str">
        <f>HYPERLINK("https://www.compass.com/listing/131-west-122nd-street-unit-gardena-manhattan-ny-10027/4852274554766101153/","131 W 122nd St, Unit GARDENA")</f>
        <v>131 W 122nd St, Unit GARDENA</v>
      </c>
      <c r="B1916" s="2" t="str">
        <f t="shared" si="324"/>
        <v>131 W 122nd St</v>
      </c>
      <c r="C1916" s="1" t="s">
        <v>131</v>
      </c>
      <c r="D1916" s="1" t="s">
        <v>41</v>
      </c>
      <c r="E1916" s="3">
        <v>719000</v>
      </c>
      <c r="F1916" s="1">
        <v>719</v>
      </c>
      <c r="G1916" s="1">
        <v>3</v>
      </c>
      <c r="H1916" s="1">
        <v>2</v>
      </c>
      <c r="I1916" s="1">
        <v>2</v>
      </c>
      <c r="J1916" s="1">
        <v>2</v>
      </c>
      <c r="K1916" s="1">
        <v>2</v>
      </c>
      <c r="M1916" s="4">
        <v>1000</v>
      </c>
      <c r="N1916" s="1">
        <v>439</v>
      </c>
      <c r="O1916" s="1">
        <v>775</v>
      </c>
      <c r="P1916" s="1">
        <v>336</v>
      </c>
      <c r="Q1916" s="1" t="s">
        <v>42</v>
      </c>
      <c r="S1916" s="1" t="s">
        <v>42</v>
      </c>
      <c r="T1916" s="1" t="s">
        <v>203</v>
      </c>
      <c r="U1916" s="1">
        <v>202</v>
      </c>
      <c r="V1916" s="5">
        <v>44225</v>
      </c>
      <c r="W1916" s="5">
        <v>42671</v>
      </c>
      <c r="X1916" s="1">
        <v>799000</v>
      </c>
      <c r="Y1916" s="1">
        <v>719000</v>
      </c>
      <c r="Z1916" s="5">
        <v>42873</v>
      </c>
      <c r="AA1916" s="1">
        <v>719000</v>
      </c>
      <c r="AB1916" s="1" t="s">
        <v>204</v>
      </c>
      <c r="AC1916" s="5">
        <v>42923</v>
      </c>
      <c r="AF1916" s="1">
        <v>10027</v>
      </c>
      <c r="AI1916" s="1" t="s">
        <v>98</v>
      </c>
      <c r="AJ1916" s="1">
        <v>1910</v>
      </c>
      <c r="AL1916" s="1">
        <v>10</v>
      </c>
    </row>
    <row r="1917" spans="1:38" x14ac:dyDescent="0.2">
      <c r="A1917" s="2" t="str">
        <f>HYPERLINK("https://www.compass.com/listing/131-west-122nd-street-unit-gardenb-manhattan-ny-10027/4852308267239485057/","131 W 122nd St, Unit GARDENB")</f>
        <v>131 W 122nd St, Unit GARDENB</v>
      </c>
      <c r="B1917" s="2" t="str">
        <f t="shared" si="324"/>
        <v>131 W 122nd St</v>
      </c>
      <c r="C1917" s="1" t="s">
        <v>131</v>
      </c>
      <c r="D1917" s="1" t="s">
        <v>41</v>
      </c>
      <c r="E1917" s="3">
        <v>899000</v>
      </c>
      <c r="F1917" s="1">
        <v>736.28173628173602</v>
      </c>
      <c r="G1917" s="1">
        <v>3</v>
      </c>
      <c r="H1917" s="1">
        <v>1</v>
      </c>
      <c r="I1917" s="1">
        <v>2</v>
      </c>
      <c r="J1917" s="1">
        <v>1.5</v>
      </c>
      <c r="M1917" s="4">
        <v>1221</v>
      </c>
      <c r="N1917" s="1">
        <v>567</v>
      </c>
      <c r="O1917" s="1">
        <v>1001</v>
      </c>
      <c r="P1917" s="1">
        <v>434</v>
      </c>
      <c r="Q1917" s="1" t="s">
        <v>42</v>
      </c>
      <c r="S1917" s="1" t="s">
        <v>42</v>
      </c>
      <c r="T1917" s="1" t="s">
        <v>203</v>
      </c>
      <c r="U1917" s="1">
        <v>36</v>
      </c>
      <c r="V1917" s="5">
        <v>43629</v>
      </c>
      <c r="W1917" s="5">
        <v>42678</v>
      </c>
      <c r="X1917" s="1">
        <v>899000</v>
      </c>
      <c r="Y1917" s="1">
        <v>899000</v>
      </c>
      <c r="Z1917" s="5">
        <v>42714</v>
      </c>
      <c r="AA1917" s="1">
        <v>899000</v>
      </c>
      <c r="AB1917" s="1" t="s">
        <v>204</v>
      </c>
      <c r="AC1917" s="5">
        <v>42899</v>
      </c>
      <c r="AF1917" s="1">
        <v>10027</v>
      </c>
      <c r="AI1917" s="1" t="s">
        <v>98</v>
      </c>
      <c r="AJ1917" s="1">
        <v>1910</v>
      </c>
      <c r="AL1917" s="1">
        <v>10</v>
      </c>
    </row>
    <row r="1918" spans="1:38" x14ac:dyDescent="0.2">
      <c r="A1918" s="2" t="str">
        <f>HYPERLINK("https://www.compass.com/listing/131-west-122nd-street-unit-2b-manhattan-ny-10027/4852268386043822401/","131 W 122nd St, Unit 2B")</f>
        <v>131 W 122nd St, Unit 2B</v>
      </c>
      <c r="B1918" s="2" t="str">
        <f t="shared" si="324"/>
        <v>131 W 122nd St</v>
      </c>
      <c r="C1918" s="1" t="s">
        <v>131</v>
      </c>
      <c r="D1918" s="1" t="s">
        <v>41</v>
      </c>
      <c r="E1918" s="3">
        <v>879768</v>
      </c>
      <c r="F1918" s="1">
        <v>1150.0235294117599</v>
      </c>
      <c r="G1918" s="1">
        <v>4</v>
      </c>
      <c r="H1918" s="1">
        <v>2</v>
      </c>
      <c r="I1918" s="1">
        <v>2</v>
      </c>
      <c r="J1918" s="1">
        <v>2</v>
      </c>
      <c r="K1918" s="1">
        <v>2</v>
      </c>
      <c r="M1918" s="1">
        <v>765</v>
      </c>
      <c r="N1918" s="1">
        <v>442</v>
      </c>
      <c r="O1918" s="1">
        <v>781</v>
      </c>
      <c r="P1918" s="1">
        <v>339</v>
      </c>
      <c r="Q1918" s="1" t="s">
        <v>42</v>
      </c>
      <c r="S1918" s="1" t="s">
        <v>42</v>
      </c>
      <c r="T1918" s="1" t="s">
        <v>203</v>
      </c>
      <c r="U1918" s="1">
        <v>193</v>
      </c>
      <c r="V1918" s="5">
        <v>44341</v>
      </c>
      <c r="W1918" s="5">
        <v>42615</v>
      </c>
      <c r="X1918" s="1">
        <v>889000</v>
      </c>
      <c r="Y1918" s="1">
        <v>899000</v>
      </c>
      <c r="Z1918" s="5">
        <v>42808</v>
      </c>
      <c r="AA1918" s="1">
        <v>879768</v>
      </c>
      <c r="AB1918" s="1" t="s">
        <v>1457</v>
      </c>
      <c r="AC1918" s="5">
        <v>42881</v>
      </c>
      <c r="AF1918" s="1">
        <v>10027</v>
      </c>
      <c r="AI1918" s="1" t="s">
        <v>1458</v>
      </c>
      <c r="AJ1918" s="1">
        <v>1910</v>
      </c>
      <c r="AL1918" s="1">
        <v>10</v>
      </c>
    </row>
    <row r="1919" spans="1:38" x14ac:dyDescent="0.2">
      <c r="A1919" s="2" t="str">
        <f>HYPERLINK("https://www.compass.com/listing/131-west-122nd-street-unit-3a-manhattan-ny-10027/4852268017574219025/","131 W 122nd St, Unit 3A")</f>
        <v>131 W 122nd St, Unit 3A</v>
      </c>
      <c r="B1919" s="2" t="str">
        <f t="shared" si="324"/>
        <v>131 W 122nd St</v>
      </c>
      <c r="C1919" s="1" t="s">
        <v>131</v>
      </c>
      <c r="D1919" s="1" t="s">
        <v>41</v>
      </c>
      <c r="E1919" s="3">
        <v>769000</v>
      </c>
      <c r="F1919" s="1">
        <v>1158.1325301204799</v>
      </c>
      <c r="G1919" s="1">
        <v>3</v>
      </c>
      <c r="H1919" s="1">
        <v>1</v>
      </c>
      <c r="I1919" s="1">
        <v>1</v>
      </c>
      <c r="J1919" s="1">
        <v>1</v>
      </c>
      <c r="M1919" s="1">
        <v>664</v>
      </c>
      <c r="N1919" s="1">
        <v>396</v>
      </c>
      <c r="O1919" s="1">
        <v>699</v>
      </c>
      <c r="P1919" s="1">
        <v>303</v>
      </c>
      <c r="Q1919" s="1" t="s">
        <v>42</v>
      </c>
      <c r="S1919" s="1" t="s">
        <v>42</v>
      </c>
      <c r="T1919" s="1" t="s">
        <v>203</v>
      </c>
      <c r="U1919" s="1">
        <v>106</v>
      </c>
      <c r="V1919" s="5">
        <v>43637</v>
      </c>
      <c r="W1919" s="5">
        <v>42608</v>
      </c>
      <c r="X1919" s="1">
        <v>799000</v>
      </c>
      <c r="Y1919" s="1">
        <v>749000</v>
      </c>
      <c r="Z1919" s="5">
        <v>42714</v>
      </c>
      <c r="AA1919" s="1">
        <v>769000</v>
      </c>
      <c r="AB1919" s="1" t="s">
        <v>1459</v>
      </c>
      <c r="AC1919" s="5">
        <v>42880</v>
      </c>
      <c r="AF1919" s="1">
        <v>10027</v>
      </c>
      <c r="AI1919" s="1" t="s">
        <v>93</v>
      </c>
      <c r="AJ1919" s="1">
        <v>1910</v>
      </c>
      <c r="AL1919" s="1">
        <v>10</v>
      </c>
    </row>
    <row r="1920" spans="1:38" x14ac:dyDescent="0.2">
      <c r="A1920" s="2" t="str">
        <f>HYPERLINK("https://www.compass.com/listing/535-west-52nd-street-unit-9d-manhattan-ny-10019/309015996899618225/","535 W 52nd St, Unit 9D")</f>
        <v>535 W 52nd St, Unit 9D</v>
      </c>
      <c r="B1920" s="2" t="str">
        <f t="shared" ref="B1920:B1923" si="325">HYPERLINK("https://www.compass.com/building/535-w-52nd-st-manhattan-ny/292847931621444293/","535 W 52nd St")</f>
        <v>535 W 52nd St</v>
      </c>
      <c r="C1920" s="1" t="s">
        <v>57</v>
      </c>
      <c r="D1920" s="1" t="s">
        <v>41</v>
      </c>
      <c r="E1920" s="3">
        <v>422328</v>
      </c>
      <c r="F1920" s="1">
        <v>651.74074074073997</v>
      </c>
      <c r="G1920" s="1">
        <v>3</v>
      </c>
      <c r="H1920" s="1">
        <v>1</v>
      </c>
      <c r="I1920" s="1">
        <v>1</v>
      </c>
      <c r="J1920" s="1">
        <v>1</v>
      </c>
      <c r="K1920" s="1">
        <v>1</v>
      </c>
      <c r="M1920" s="1">
        <v>648</v>
      </c>
      <c r="N1920" s="1">
        <v>565</v>
      </c>
      <c r="O1920" s="1">
        <v>565</v>
      </c>
      <c r="Q1920" s="1" t="s">
        <v>191</v>
      </c>
      <c r="S1920" s="1" t="s">
        <v>191</v>
      </c>
      <c r="T1920" s="1" t="s">
        <v>203</v>
      </c>
      <c r="U1920" s="1">
        <v>23</v>
      </c>
      <c r="V1920" s="5">
        <v>44089</v>
      </c>
      <c r="W1920" s="5">
        <v>43604</v>
      </c>
      <c r="X1920" s="1">
        <v>425000</v>
      </c>
      <c r="Y1920" s="1">
        <v>425000</v>
      </c>
      <c r="Z1920" s="5">
        <v>43627</v>
      </c>
      <c r="AA1920" s="1">
        <v>422328</v>
      </c>
      <c r="AB1920" s="1" t="s">
        <v>269</v>
      </c>
      <c r="AC1920" s="5">
        <v>43964</v>
      </c>
      <c r="AF1920" s="1">
        <v>10019</v>
      </c>
      <c r="AI1920" s="1" t="s">
        <v>403</v>
      </c>
      <c r="AJ1920" s="1">
        <v>2014</v>
      </c>
      <c r="AK1920" s="1" t="s">
        <v>178</v>
      </c>
      <c r="AL1920" s="1">
        <v>95</v>
      </c>
    </row>
    <row r="1921" spans="1:38" x14ac:dyDescent="0.2">
      <c r="A1921" s="2" t="str">
        <f>HYPERLINK("https://www.compass.com/listing/535-west-52nd-street-unit-9d-manhattan-ny-10019/29390063183937761/","535 W 52nd St, Unit 9D")</f>
        <v>535 W 52nd St, Unit 9D</v>
      </c>
      <c r="B1921" s="2" t="str">
        <f t="shared" si="325"/>
        <v>535 W 52nd St</v>
      </c>
      <c r="C1921" s="1" t="s">
        <v>57</v>
      </c>
      <c r="D1921" s="1" t="s">
        <v>41</v>
      </c>
      <c r="E1921" s="3">
        <v>458374</v>
      </c>
      <c r="F1921" s="1">
        <v>707.36728395061698</v>
      </c>
      <c r="H1921" s="1">
        <v>1</v>
      </c>
      <c r="J1921" s="1">
        <v>1</v>
      </c>
      <c r="K1921" s="1">
        <v>1</v>
      </c>
      <c r="M1921" s="1">
        <v>648</v>
      </c>
      <c r="N1921" s="1">
        <v>583</v>
      </c>
      <c r="O1921" s="1">
        <v>1166</v>
      </c>
      <c r="Q1921" s="1" t="s">
        <v>191</v>
      </c>
      <c r="S1921" s="1" t="s">
        <v>191</v>
      </c>
      <c r="T1921" s="1" t="s">
        <v>203</v>
      </c>
      <c r="AA1921" s="1">
        <v>458374</v>
      </c>
      <c r="AB1921" s="1" t="s">
        <v>1460</v>
      </c>
      <c r="AC1921" s="5">
        <v>41794</v>
      </c>
      <c r="AF1921" s="1">
        <v>10019</v>
      </c>
      <c r="AJ1921" s="1">
        <v>2014</v>
      </c>
      <c r="AL1921" s="1">
        <v>95</v>
      </c>
    </row>
    <row r="1922" spans="1:38" x14ac:dyDescent="0.2">
      <c r="A1922" s="2" t="str">
        <f>HYPERLINK("https://www.compass.com/listing/535-west-52nd-street-unit-4a-manhattan-ny-10019/29390063703968257/","535 W 52nd St, Unit 4A")</f>
        <v>535 W 52nd St, Unit 4A</v>
      </c>
      <c r="B1922" s="2" t="str">
        <f t="shared" si="325"/>
        <v>535 W 52nd St</v>
      </c>
      <c r="C1922" s="1" t="s">
        <v>57</v>
      </c>
      <c r="D1922" s="1" t="s">
        <v>41</v>
      </c>
      <c r="E1922" s="3">
        <v>556987</v>
      </c>
      <c r="F1922" s="1">
        <v>598.91075268817201</v>
      </c>
      <c r="H1922" s="1">
        <v>2</v>
      </c>
      <c r="J1922" s="1">
        <v>2</v>
      </c>
      <c r="K1922" s="1">
        <v>2</v>
      </c>
      <c r="M1922" s="1">
        <v>930</v>
      </c>
      <c r="N1922" s="1">
        <v>838.77</v>
      </c>
      <c r="O1922" s="1">
        <v>838.77</v>
      </c>
      <c r="Q1922" s="1" t="s">
        <v>191</v>
      </c>
      <c r="S1922" s="1" t="s">
        <v>191</v>
      </c>
      <c r="T1922" s="1" t="s">
        <v>203</v>
      </c>
      <c r="AA1922" s="1">
        <v>556987</v>
      </c>
      <c r="AB1922" s="1" t="s">
        <v>1461</v>
      </c>
      <c r="AC1922" s="5">
        <v>41876</v>
      </c>
      <c r="AF1922" s="1">
        <v>10019</v>
      </c>
      <c r="AJ1922" s="1">
        <v>2014</v>
      </c>
      <c r="AL1922" s="1">
        <v>95</v>
      </c>
    </row>
    <row r="1923" spans="1:38" x14ac:dyDescent="0.2">
      <c r="A1923" s="2" t="str">
        <f>HYPERLINK("https://www.compass.com/listing/535-west-52nd-street-unit-10g-manhattan-ny-10019/29390055214682161/","535 W 52nd St, Unit 10G")</f>
        <v>535 W 52nd St, Unit 10G</v>
      </c>
      <c r="B1923" s="2" t="str">
        <f t="shared" si="325"/>
        <v>535 W 52nd St</v>
      </c>
      <c r="C1923" s="1" t="s">
        <v>57</v>
      </c>
      <c r="D1923" s="1" t="s">
        <v>41</v>
      </c>
      <c r="E1923" s="3">
        <v>633113</v>
      </c>
      <c r="F1923" s="1">
        <v>639.50808080807997</v>
      </c>
      <c r="H1923" s="1">
        <v>2</v>
      </c>
      <c r="J1923" s="1">
        <v>1</v>
      </c>
      <c r="K1923" s="1">
        <v>1</v>
      </c>
      <c r="M1923" s="1">
        <v>990</v>
      </c>
      <c r="N1923" s="1">
        <v>864</v>
      </c>
      <c r="O1923" s="1">
        <v>864</v>
      </c>
      <c r="Q1923" s="1" t="s">
        <v>191</v>
      </c>
      <c r="S1923" s="1" t="s">
        <v>191</v>
      </c>
      <c r="T1923" s="1" t="s">
        <v>203</v>
      </c>
      <c r="AA1923" s="1">
        <v>633113</v>
      </c>
      <c r="AB1923" s="1" t="s">
        <v>1462</v>
      </c>
      <c r="AC1923" s="5">
        <v>41858</v>
      </c>
      <c r="AF1923" s="1">
        <v>10019</v>
      </c>
      <c r="AJ1923" s="1">
        <v>2014</v>
      </c>
      <c r="AL1923" s="1">
        <v>95</v>
      </c>
    </row>
    <row r="1924" spans="1:38" x14ac:dyDescent="0.2">
      <c r="A1924" s="2" t="str">
        <f>HYPERLINK("https://www.compass.com/listing/591-3rd-avenue-unit-4e-manhattan-ny-10016/29509767470785041/","591 3rd Ave, Unit 4E")</f>
        <v>591 3rd Ave, Unit 4E</v>
      </c>
      <c r="B1924" s="2" t="str">
        <f t="shared" ref="B1924:B1948" si="326">HYPERLINK("https://www.compass.com/building/the-lindley-manhattan-ny/282058799928343829/","The Lindley")</f>
        <v>The Lindley</v>
      </c>
      <c r="C1924" s="1" t="s">
        <v>165</v>
      </c>
      <c r="D1924" s="1" t="s">
        <v>41</v>
      </c>
      <c r="E1924" s="3">
        <v>946973</v>
      </c>
      <c r="F1924" s="1">
        <v>1605.03898305084</v>
      </c>
      <c r="G1924" s="1">
        <v>2</v>
      </c>
      <c r="H1924" s="1" t="s">
        <v>77</v>
      </c>
      <c r="I1924" s="1">
        <v>1</v>
      </c>
      <c r="J1924" s="1">
        <v>1</v>
      </c>
      <c r="K1924" s="1">
        <v>1</v>
      </c>
      <c r="M1924" s="1">
        <v>590</v>
      </c>
      <c r="N1924" s="1">
        <v>811.11</v>
      </c>
      <c r="O1924" s="1">
        <v>1115.75</v>
      </c>
      <c r="P1924" s="1">
        <v>304.666666666666</v>
      </c>
      <c r="Q1924" s="1" t="s">
        <v>42</v>
      </c>
      <c r="S1924" s="1" t="s">
        <v>42</v>
      </c>
      <c r="T1924" s="1" t="s">
        <v>203</v>
      </c>
      <c r="U1924" s="1">
        <v>33</v>
      </c>
      <c r="V1924" s="5">
        <v>43671</v>
      </c>
      <c r="W1924" s="5">
        <v>43168</v>
      </c>
      <c r="X1924" s="1">
        <v>930000</v>
      </c>
      <c r="Y1924" s="1">
        <v>930000</v>
      </c>
      <c r="Z1924" s="5">
        <v>43201</v>
      </c>
      <c r="AA1924" s="1">
        <v>946973</v>
      </c>
      <c r="AB1924" s="1" t="s">
        <v>1463</v>
      </c>
      <c r="AC1924" s="5">
        <v>43411</v>
      </c>
      <c r="AF1924" s="1">
        <v>10016</v>
      </c>
      <c r="AI1924" s="1" t="s">
        <v>1464</v>
      </c>
      <c r="AJ1924" s="1">
        <v>2018</v>
      </c>
      <c r="AK1924" s="1" t="s">
        <v>87</v>
      </c>
      <c r="AL1924" s="1">
        <v>74</v>
      </c>
    </row>
    <row r="1925" spans="1:38" x14ac:dyDescent="0.2">
      <c r="A1925" s="2" t="str">
        <f>HYPERLINK("https://www.compass.com/listing/591-3rd-avenue-unit-11d-manhattan-ny-10016/29509777394508865/","591 3rd Ave, Unit 11D")</f>
        <v>591 3rd Ave, Unit 11D</v>
      </c>
      <c r="B1925" s="2" t="str">
        <f t="shared" si="326"/>
        <v>The Lindley</v>
      </c>
      <c r="C1925" s="1" t="s">
        <v>165</v>
      </c>
      <c r="D1925" s="1" t="s">
        <v>41</v>
      </c>
      <c r="E1925" s="3">
        <v>982611</v>
      </c>
      <c r="F1925" s="1">
        <v>1665.4423728813499</v>
      </c>
      <c r="G1925" s="1">
        <v>2</v>
      </c>
      <c r="H1925" s="1" t="s">
        <v>77</v>
      </c>
      <c r="I1925" s="1">
        <v>1</v>
      </c>
      <c r="J1925" s="1">
        <v>1</v>
      </c>
      <c r="K1925" s="1">
        <v>1</v>
      </c>
      <c r="M1925" s="1">
        <v>590</v>
      </c>
      <c r="N1925" s="1">
        <v>839.22</v>
      </c>
      <c r="O1925" s="1">
        <v>1154.42</v>
      </c>
      <c r="P1925" s="1">
        <v>315.166666666666</v>
      </c>
      <c r="Q1925" s="1" t="s">
        <v>42</v>
      </c>
      <c r="S1925" s="1" t="s">
        <v>42</v>
      </c>
      <c r="T1925" s="1" t="s">
        <v>203</v>
      </c>
      <c r="U1925" s="1">
        <v>11</v>
      </c>
      <c r="V1925" s="5">
        <v>43640</v>
      </c>
      <c r="W1925" s="5">
        <v>43015</v>
      </c>
      <c r="X1925" s="1">
        <v>965000</v>
      </c>
      <c r="Y1925" s="1">
        <v>965000</v>
      </c>
      <c r="Z1925" s="5">
        <v>43026</v>
      </c>
      <c r="AA1925" s="1">
        <v>982611</v>
      </c>
      <c r="AB1925" s="1" t="s">
        <v>1465</v>
      </c>
      <c r="AC1925" s="5">
        <v>43385</v>
      </c>
      <c r="AF1925" s="1">
        <v>10016</v>
      </c>
      <c r="AI1925" s="1" t="s">
        <v>1464</v>
      </c>
      <c r="AJ1925" s="1">
        <v>2018</v>
      </c>
      <c r="AK1925" s="1" t="s">
        <v>87</v>
      </c>
      <c r="AL1925" s="1">
        <v>74</v>
      </c>
    </row>
    <row r="1926" spans="1:38" x14ac:dyDescent="0.2">
      <c r="A1926" s="2" t="str">
        <f>HYPERLINK("https://www.compass.com/listing/591-3rd-avenue-unit-14d-manhattan-ny-10016/29509777788829281/","591 3rd Ave, Unit 14D")</f>
        <v>591 3rd Ave, Unit 14D</v>
      </c>
      <c r="B1926" s="2" t="str">
        <f t="shared" si="326"/>
        <v>The Lindley</v>
      </c>
      <c r="C1926" s="1" t="s">
        <v>165</v>
      </c>
      <c r="D1926" s="1" t="s">
        <v>41</v>
      </c>
      <c r="E1926" s="3">
        <v>992794</v>
      </c>
      <c r="F1926" s="1">
        <v>1682.7016949152501</v>
      </c>
      <c r="G1926" s="1">
        <v>2</v>
      </c>
      <c r="H1926" s="1" t="s">
        <v>77</v>
      </c>
      <c r="I1926" s="1">
        <v>1</v>
      </c>
      <c r="J1926" s="1">
        <v>1</v>
      </c>
      <c r="K1926" s="1">
        <v>1</v>
      </c>
      <c r="M1926" s="1">
        <v>590</v>
      </c>
      <c r="N1926" s="1">
        <v>847.25</v>
      </c>
      <c r="O1926" s="1">
        <v>1165.46</v>
      </c>
      <c r="P1926" s="1">
        <v>318.25</v>
      </c>
      <c r="Q1926" s="1" t="s">
        <v>42</v>
      </c>
      <c r="S1926" s="1" t="s">
        <v>42</v>
      </c>
      <c r="T1926" s="1" t="s">
        <v>203</v>
      </c>
      <c r="U1926" s="1">
        <v>10</v>
      </c>
      <c r="V1926" s="5">
        <v>43643</v>
      </c>
      <c r="W1926" s="5">
        <v>43026</v>
      </c>
      <c r="X1926" s="1">
        <v>975000</v>
      </c>
      <c r="Y1926" s="1">
        <v>975000</v>
      </c>
      <c r="Z1926" s="5">
        <v>43036</v>
      </c>
      <c r="AA1926" s="1">
        <v>992794</v>
      </c>
      <c r="AB1926" s="1" t="s">
        <v>1466</v>
      </c>
      <c r="AC1926" s="5">
        <v>43404</v>
      </c>
      <c r="AF1926" s="1">
        <v>10016</v>
      </c>
      <c r="AI1926" s="1" t="s">
        <v>1464</v>
      </c>
      <c r="AJ1926" s="1">
        <v>2018</v>
      </c>
      <c r="AK1926" s="1" t="s">
        <v>87</v>
      </c>
      <c r="AL1926" s="1">
        <v>74</v>
      </c>
    </row>
    <row r="1927" spans="1:38" x14ac:dyDescent="0.2">
      <c r="A1927" s="2" t="str">
        <f>HYPERLINK("https://www.compass.com/listing/591-3rd-avenue-unit-7e-manhattan-ny-10016/724375804151117769/","591 3rd Ave, Unit 7E")</f>
        <v>591 3rd Ave, Unit 7E</v>
      </c>
      <c r="B1927" s="2" t="str">
        <f t="shared" si="326"/>
        <v>The Lindley</v>
      </c>
      <c r="C1927" s="1" t="s">
        <v>165</v>
      </c>
      <c r="D1927" s="1" t="s">
        <v>41</v>
      </c>
      <c r="E1927" s="3">
        <v>866000</v>
      </c>
      <c r="F1927" s="1">
        <v>1467.7966101694899</v>
      </c>
      <c r="G1927" s="1">
        <v>2</v>
      </c>
      <c r="H1927" s="1" t="s">
        <v>77</v>
      </c>
      <c r="I1927" s="1">
        <v>1</v>
      </c>
      <c r="J1927" s="1">
        <v>1</v>
      </c>
      <c r="K1927" s="1">
        <v>1</v>
      </c>
      <c r="M1927" s="1">
        <v>590</v>
      </c>
      <c r="N1927" s="1">
        <v>881</v>
      </c>
      <c r="O1927" s="1">
        <v>1027</v>
      </c>
      <c r="P1927" s="1">
        <v>146</v>
      </c>
      <c r="Q1927" s="1" t="s">
        <v>143</v>
      </c>
      <c r="S1927" s="1" t="s">
        <v>42</v>
      </c>
      <c r="T1927" s="1" t="s">
        <v>203</v>
      </c>
      <c r="U1927" s="1">
        <v>112</v>
      </c>
      <c r="V1927" s="5">
        <v>44413</v>
      </c>
      <c r="W1927" s="5">
        <v>44251</v>
      </c>
      <c r="X1927" s="1">
        <v>930000</v>
      </c>
      <c r="Y1927" s="1">
        <v>895000</v>
      </c>
      <c r="Z1927" s="5">
        <v>44363</v>
      </c>
      <c r="AA1927" s="1">
        <v>866000</v>
      </c>
      <c r="AB1927" s="1" t="s">
        <v>1467</v>
      </c>
      <c r="AC1927" s="5">
        <v>44398</v>
      </c>
      <c r="AF1927" s="1">
        <v>10016</v>
      </c>
      <c r="AI1927" s="1" t="s">
        <v>1468</v>
      </c>
      <c r="AJ1927" s="1">
        <v>2018</v>
      </c>
      <c r="AK1927" s="1" t="s">
        <v>81</v>
      </c>
      <c r="AL1927" s="1">
        <v>74</v>
      </c>
    </row>
    <row r="1928" spans="1:38" x14ac:dyDescent="0.2">
      <c r="A1928" s="2" t="str">
        <f>HYPERLINK("https://www.compass.com/listing/591-3rd-avenue-unit-15d-manhattan-ny-10016/19503033905869169/","591 3rd Ave, Unit 15D")</f>
        <v>591 3rd Ave, Unit 15D</v>
      </c>
      <c r="B1928" s="2" t="str">
        <f t="shared" si="326"/>
        <v>The Lindley</v>
      </c>
      <c r="C1928" s="1" t="s">
        <v>165</v>
      </c>
      <c r="D1928" s="1" t="s">
        <v>41</v>
      </c>
      <c r="E1928" s="3">
        <v>997885</v>
      </c>
      <c r="F1928" s="1">
        <v>1691.33050847457</v>
      </c>
      <c r="G1928" s="1">
        <v>2</v>
      </c>
      <c r="H1928" s="1" t="s">
        <v>77</v>
      </c>
      <c r="I1928" s="1">
        <v>1</v>
      </c>
      <c r="J1928" s="1">
        <v>1</v>
      </c>
      <c r="M1928" s="1">
        <v>590</v>
      </c>
      <c r="N1928" s="1">
        <v>851</v>
      </c>
      <c r="O1928" s="1">
        <v>1170</v>
      </c>
      <c r="P1928" s="1">
        <v>319</v>
      </c>
      <c r="Q1928" s="1" t="s">
        <v>42</v>
      </c>
      <c r="S1928" s="1" t="s">
        <v>42</v>
      </c>
      <c r="T1928" s="1" t="s">
        <v>203</v>
      </c>
      <c r="U1928" s="1">
        <v>126</v>
      </c>
      <c r="V1928" s="5">
        <v>43699</v>
      </c>
      <c r="W1928" s="5">
        <v>43279</v>
      </c>
      <c r="X1928" s="1">
        <v>1005000</v>
      </c>
      <c r="Y1928" s="1">
        <v>1005000</v>
      </c>
      <c r="Z1928" s="5">
        <v>43405</v>
      </c>
      <c r="AA1928" s="1">
        <v>997885</v>
      </c>
      <c r="AB1928" s="1" t="s">
        <v>1469</v>
      </c>
      <c r="AC1928" s="5">
        <v>43431</v>
      </c>
      <c r="AF1928" s="1">
        <v>10016</v>
      </c>
      <c r="AI1928" s="1" t="s">
        <v>1464</v>
      </c>
      <c r="AJ1928" s="1">
        <v>2018</v>
      </c>
      <c r="AK1928" s="1" t="s">
        <v>55</v>
      </c>
      <c r="AL1928" s="1">
        <v>74</v>
      </c>
    </row>
    <row r="1929" spans="1:38" x14ac:dyDescent="0.2">
      <c r="A1929" s="2" t="str">
        <f>HYPERLINK("https://www.compass.com/listing/591-3rd-avenue-unit-8e-manhattan-ny-10016/134807725115779617/","591 3rd Ave, Unit 8E")</f>
        <v>591 3rd Ave, Unit 8E</v>
      </c>
      <c r="B1929" s="2" t="str">
        <f t="shared" si="326"/>
        <v>The Lindley</v>
      </c>
      <c r="C1929" s="1" t="s">
        <v>165</v>
      </c>
      <c r="D1929" s="1" t="s">
        <v>41</v>
      </c>
      <c r="E1929" s="3">
        <v>960000</v>
      </c>
      <c r="F1929" s="1">
        <v>1627.11864406779</v>
      </c>
      <c r="G1929" s="1">
        <v>2</v>
      </c>
      <c r="H1929" s="1" t="s">
        <v>77</v>
      </c>
      <c r="I1929" s="1">
        <v>1</v>
      </c>
      <c r="J1929" s="1">
        <v>1</v>
      </c>
      <c r="K1929" s="1">
        <v>1</v>
      </c>
      <c r="M1929" s="1">
        <v>590</v>
      </c>
      <c r="N1929" s="1">
        <v>827.17</v>
      </c>
      <c r="O1929" s="1">
        <v>1137.8399999999999</v>
      </c>
      <c r="P1929" s="1">
        <v>310.666666666666</v>
      </c>
      <c r="Q1929" s="1" t="s">
        <v>42</v>
      </c>
      <c r="S1929" s="1" t="s">
        <v>42</v>
      </c>
      <c r="T1929" s="1" t="s">
        <v>203</v>
      </c>
      <c r="U1929" s="1">
        <v>58</v>
      </c>
      <c r="V1929" s="5">
        <v>43640</v>
      </c>
      <c r="W1929" s="5">
        <v>43438</v>
      </c>
      <c r="X1929" s="1">
        <v>995000</v>
      </c>
      <c r="Y1929" s="1">
        <v>995000</v>
      </c>
      <c r="Z1929" s="5">
        <v>43496</v>
      </c>
      <c r="AA1929" s="1">
        <v>960000</v>
      </c>
      <c r="AB1929" s="1" t="s">
        <v>1470</v>
      </c>
      <c r="AC1929" s="5">
        <v>43574</v>
      </c>
      <c r="AF1929" s="1">
        <v>10016</v>
      </c>
      <c r="AI1929" s="1" t="s">
        <v>1464</v>
      </c>
      <c r="AJ1929" s="1">
        <v>2018</v>
      </c>
      <c r="AK1929" s="1" t="s">
        <v>87</v>
      </c>
      <c r="AL1929" s="1">
        <v>74</v>
      </c>
    </row>
    <row r="1930" spans="1:38" x14ac:dyDescent="0.2">
      <c r="A1930" s="2" t="str">
        <f>HYPERLINK("https://www.compass.com/listing/591-3rd-avenue-unit-9e-manhattan-ny-10016/29509769207308305/","591 3rd Ave, Unit 9E")</f>
        <v>591 3rd Ave, Unit 9E</v>
      </c>
      <c r="B1930" s="2" t="str">
        <f t="shared" si="326"/>
        <v>The Lindley</v>
      </c>
      <c r="C1930" s="1" t="s">
        <v>165</v>
      </c>
      <c r="D1930" s="1" t="s">
        <v>41</v>
      </c>
      <c r="E1930" s="3">
        <v>972429</v>
      </c>
      <c r="F1930" s="1">
        <v>1648.18474576271</v>
      </c>
      <c r="G1930" s="1">
        <v>2</v>
      </c>
      <c r="H1930" s="1" t="s">
        <v>77</v>
      </c>
      <c r="I1930" s="1">
        <v>1</v>
      </c>
      <c r="J1930" s="1">
        <v>1</v>
      </c>
      <c r="K1930" s="1">
        <v>1</v>
      </c>
      <c r="M1930" s="1">
        <v>590</v>
      </c>
      <c r="N1930" s="1">
        <v>832.27</v>
      </c>
      <c r="O1930" s="1">
        <v>1144.8599999999999</v>
      </c>
      <c r="P1930" s="1">
        <v>312.58333333333297</v>
      </c>
      <c r="Q1930" s="1" t="s">
        <v>42</v>
      </c>
      <c r="S1930" s="1" t="s">
        <v>42</v>
      </c>
      <c r="T1930" s="1" t="s">
        <v>203</v>
      </c>
      <c r="U1930" s="1">
        <v>4</v>
      </c>
      <c r="V1930" s="5">
        <v>43638</v>
      </c>
      <c r="W1930" s="5">
        <v>42980</v>
      </c>
      <c r="X1930" s="1">
        <v>955000</v>
      </c>
      <c r="Y1930" s="1">
        <v>955000</v>
      </c>
      <c r="Z1930" s="5">
        <v>42984</v>
      </c>
      <c r="AA1930" s="1">
        <v>972429</v>
      </c>
      <c r="AB1930" s="1" t="s">
        <v>1471</v>
      </c>
      <c r="AC1930" s="5">
        <v>43378</v>
      </c>
      <c r="AF1930" s="1">
        <v>10016</v>
      </c>
      <c r="AI1930" s="1" t="s">
        <v>1464</v>
      </c>
      <c r="AJ1930" s="1">
        <v>2018</v>
      </c>
      <c r="AK1930" s="1" t="s">
        <v>87</v>
      </c>
      <c r="AL1930" s="1">
        <v>74</v>
      </c>
    </row>
    <row r="1931" spans="1:38" x14ac:dyDescent="0.2">
      <c r="A1931" s="2" t="str">
        <f>HYPERLINK("https://www.compass.com/listing/591-3rd-avenue-unit-12d-manhattan-ny-10016/29509777042268641/","591 3rd Ave, Unit 12D")</f>
        <v>591 3rd Ave, Unit 12D</v>
      </c>
      <c r="B1931" s="2" t="str">
        <f t="shared" si="326"/>
        <v>The Lindley</v>
      </c>
      <c r="C1931" s="1" t="s">
        <v>165</v>
      </c>
      <c r="D1931" s="1" t="s">
        <v>41</v>
      </c>
      <c r="E1931" s="3">
        <v>990703</v>
      </c>
      <c r="F1931" s="1">
        <v>1679.15762711864</v>
      </c>
      <c r="G1931" s="1">
        <v>1</v>
      </c>
      <c r="H1931" s="1" t="s">
        <v>77</v>
      </c>
      <c r="I1931" s="1">
        <v>1</v>
      </c>
      <c r="J1931" s="1">
        <v>1</v>
      </c>
      <c r="K1931" s="1">
        <v>1</v>
      </c>
      <c r="M1931" s="1">
        <v>590</v>
      </c>
      <c r="N1931" s="1">
        <v>844.35</v>
      </c>
      <c r="O1931" s="1">
        <v>1161.47</v>
      </c>
      <c r="P1931" s="1">
        <v>317.08333333333297</v>
      </c>
      <c r="Q1931" s="1" t="s">
        <v>42</v>
      </c>
      <c r="S1931" s="1" t="s">
        <v>42</v>
      </c>
      <c r="T1931" s="1" t="s">
        <v>203</v>
      </c>
      <c r="U1931" s="1">
        <v>49</v>
      </c>
      <c r="V1931" s="5">
        <v>43640</v>
      </c>
      <c r="W1931" s="5">
        <v>43057</v>
      </c>
      <c r="X1931" s="1">
        <v>970000</v>
      </c>
      <c r="Y1931" s="1">
        <v>970000</v>
      </c>
      <c r="Z1931" s="5">
        <v>43106</v>
      </c>
      <c r="AA1931" s="1">
        <v>990703</v>
      </c>
      <c r="AB1931" s="1" t="s">
        <v>1472</v>
      </c>
      <c r="AC1931" s="5">
        <v>43329</v>
      </c>
      <c r="AF1931" s="1">
        <v>10016</v>
      </c>
      <c r="AI1931" s="1" t="s">
        <v>1464</v>
      </c>
      <c r="AJ1931" s="1">
        <v>2018</v>
      </c>
      <c r="AK1931" s="1" t="s">
        <v>87</v>
      </c>
      <c r="AL1931" s="1">
        <v>74</v>
      </c>
    </row>
    <row r="1932" spans="1:38" x14ac:dyDescent="0.2">
      <c r="A1932" s="2" t="str">
        <f>HYPERLINK("https://www.compass.com/listing/591-3rd-avenue-unit-12c-manhattan-ny-10016/29509766145466273/","591 3rd Ave, Unit 12C")</f>
        <v>591 3rd Ave, Unit 12C</v>
      </c>
      <c r="B1932" s="2" t="str">
        <f t="shared" si="326"/>
        <v>The Lindley</v>
      </c>
      <c r="C1932" s="1" t="s">
        <v>165</v>
      </c>
      <c r="D1932" s="1" t="s">
        <v>41</v>
      </c>
      <c r="E1932" s="3">
        <v>1501919</v>
      </c>
      <c r="F1932" s="1">
        <v>2037.88195386702</v>
      </c>
      <c r="G1932" s="1">
        <v>3</v>
      </c>
      <c r="H1932" s="1">
        <v>1</v>
      </c>
      <c r="I1932" s="1">
        <v>1</v>
      </c>
      <c r="J1932" s="1">
        <v>1</v>
      </c>
      <c r="K1932" s="1">
        <v>1</v>
      </c>
      <c r="M1932" s="1">
        <v>737</v>
      </c>
      <c r="N1932" s="1">
        <v>1055.1099999999999</v>
      </c>
      <c r="O1932" s="1">
        <v>1451.3899999999901</v>
      </c>
      <c r="P1932" s="1">
        <v>396.25</v>
      </c>
      <c r="Q1932" s="1" t="s">
        <v>42</v>
      </c>
      <c r="S1932" s="1" t="s">
        <v>42</v>
      </c>
      <c r="T1932" s="1" t="s">
        <v>203</v>
      </c>
      <c r="U1932" s="1">
        <v>36</v>
      </c>
      <c r="V1932" s="5">
        <v>43694</v>
      </c>
      <c r="W1932" s="5">
        <v>43279</v>
      </c>
      <c r="X1932" s="1">
        <v>1475000</v>
      </c>
      <c r="Y1932" s="1">
        <v>1475000</v>
      </c>
      <c r="Z1932" s="5">
        <v>43315</v>
      </c>
      <c r="AA1932" s="1">
        <v>1501919</v>
      </c>
      <c r="AB1932" s="1" t="s">
        <v>1473</v>
      </c>
      <c r="AC1932" s="5">
        <v>43439</v>
      </c>
      <c r="AF1932" s="1">
        <v>10016</v>
      </c>
      <c r="AI1932" s="1" t="s">
        <v>1464</v>
      </c>
      <c r="AJ1932" s="1">
        <v>2018</v>
      </c>
      <c r="AK1932" s="1" t="s">
        <v>87</v>
      </c>
      <c r="AL1932" s="1">
        <v>74</v>
      </c>
    </row>
    <row r="1933" spans="1:38" x14ac:dyDescent="0.2">
      <c r="A1933" s="2" t="str">
        <f>HYPERLINK("https://www.compass.com/listing/591-3rd-avenue-unit-5d-manhattan-ny-10016/29509767797996577/","591 3rd Ave, Unit 5D")</f>
        <v>591 3rd Ave, Unit 5D</v>
      </c>
      <c r="B1933" s="2" t="str">
        <f t="shared" si="326"/>
        <v>The Lindley</v>
      </c>
      <c r="C1933" s="1" t="s">
        <v>165</v>
      </c>
      <c r="D1933" s="1" t="s">
        <v>41</v>
      </c>
      <c r="E1933" s="3">
        <v>1339415</v>
      </c>
      <c r="F1933" s="1">
        <v>1817.38805970149</v>
      </c>
      <c r="G1933" s="1">
        <v>3</v>
      </c>
      <c r="H1933" s="1">
        <v>1</v>
      </c>
      <c r="I1933" s="1">
        <v>1</v>
      </c>
      <c r="J1933" s="1">
        <v>1</v>
      </c>
      <c r="K1933" s="1">
        <v>1</v>
      </c>
      <c r="M1933" s="1">
        <v>737</v>
      </c>
      <c r="N1933" s="1">
        <v>1019.94</v>
      </c>
      <c r="O1933" s="1">
        <v>1403.18</v>
      </c>
      <c r="P1933" s="1">
        <v>383.25</v>
      </c>
      <c r="Q1933" s="1" t="s">
        <v>42</v>
      </c>
      <c r="S1933" s="1" t="s">
        <v>42</v>
      </c>
      <c r="T1933" s="1" t="s">
        <v>203</v>
      </c>
      <c r="U1933" s="1">
        <v>12</v>
      </c>
      <c r="V1933" s="5">
        <v>43645</v>
      </c>
      <c r="W1933" s="5">
        <v>43168</v>
      </c>
      <c r="X1933" s="1">
        <v>1300000</v>
      </c>
      <c r="Y1933" s="1">
        <v>1300000</v>
      </c>
      <c r="Z1933" s="5">
        <v>43180</v>
      </c>
      <c r="AA1933" s="1">
        <v>1339415</v>
      </c>
      <c r="AB1933" s="1" t="s">
        <v>1474</v>
      </c>
      <c r="AC1933" s="5">
        <v>43397</v>
      </c>
      <c r="AF1933" s="1">
        <v>10016</v>
      </c>
      <c r="AI1933" s="1" t="s">
        <v>1464</v>
      </c>
      <c r="AJ1933" s="1">
        <v>2018</v>
      </c>
      <c r="AK1933" s="1" t="s">
        <v>87</v>
      </c>
      <c r="AL1933" s="1">
        <v>74</v>
      </c>
    </row>
    <row r="1934" spans="1:38" x14ac:dyDescent="0.2">
      <c r="A1934" s="2" t="str">
        <f>HYPERLINK("https://www.compass.com/listing/591-3rd-avenue-unit-5c-manhattan-ny-10016/29509768074846193/","591 3rd Ave, Unit 5C")</f>
        <v>591 3rd Ave, Unit 5C</v>
      </c>
      <c r="B1934" s="2" t="str">
        <f t="shared" si="326"/>
        <v>The Lindley</v>
      </c>
      <c r="C1934" s="1" t="s">
        <v>165</v>
      </c>
      <c r="D1934" s="1" t="s">
        <v>41</v>
      </c>
      <c r="E1934" s="3">
        <v>1383535</v>
      </c>
      <c r="F1934" s="1">
        <v>1782.9059278350501</v>
      </c>
      <c r="G1934" s="1">
        <v>3</v>
      </c>
      <c r="H1934" s="1">
        <v>1</v>
      </c>
      <c r="I1934" s="1">
        <v>1</v>
      </c>
      <c r="J1934" s="1">
        <v>1</v>
      </c>
      <c r="K1934" s="1">
        <v>1</v>
      </c>
      <c r="M1934" s="1">
        <v>776</v>
      </c>
      <c r="N1934" s="1">
        <v>1073.92</v>
      </c>
      <c r="O1934" s="1">
        <v>1477.27</v>
      </c>
      <c r="P1934" s="1">
        <v>403.33333333333297</v>
      </c>
      <c r="Q1934" s="1" t="s">
        <v>42</v>
      </c>
      <c r="S1934" s="1" t="s">
        <v>42</v>
      </c>
      <c r="T1934" s="1" t="s">
        <v>203</v>
      </c>
      <c r="U1934" s="1">
        <v>20</v>
      </c>
      <c r="V1934" s="5">
        <v>43638</v>
      </c>
      <c r="W1934" s="5">
        <v>43168</v>
      </c>
      <c r="X1934" s="1">
        <v>1340000</v>
      </c>
      <c r="Y1934" s="1">
        <v>1340000</v>
      </c>
      <c r="Z1934" s="5">
        <v>43188</v>
      </c>
      <c r="AA1934" s="1">
        <v>1383535</v>
      </c>
      <c r="AB1934" s="1" t="s">
        <v>1475</v>
      </c>
      <c r="AC1934" s="5">
        <v>43397</v>
      </c>
      <c r="AF1934" s="1">
        <v>10016</v>
      </c>
      <c r="AI1934" s="1" t="s">
        <v>1464</v>
      </c>
      <c r="AJ1934" s="1">
        <v>2018</v>
      </c>
      <c r="AK1934" s="1" t="s">
        <v>87</v>
      </c>
      <c r="AL1934" s="1">
        <v>74</v>
      </c>
    </row>
    <row r="1935" spans="1:38" x14ac:dyDescent="0.2">
      <c r="A1935" s="2" t="str">
        <f>HYPERLINK("https://www.compass.com/listing/591-3rd-avenue-unit-11c-manhattan-ny-10016/29509778795462289/","591 3rd Ave, Unit 11C")</f>
        <v>591 3rd Ave, Unit 11C</v>
      </c>
      <c r="B1935" s="2" t="str">
        <f t="shared" si="326"/>
        <v>The Lindley</v>
      </c>
      <c r="C1935" s="1" t="s">
        <v>165</v>
      </c>
      <c r="D1935" s="1" t="s">
        <v>41</v>
      </c>
      <c r="E1935" s="3">
        <v>1415000</v>
      </c>
      <c r="F1935" s="1">
        <v>1919.9457259158701</v>
      </c>
      <c r="G1935" s="1">
        <v>3</v>
      </c>
      <c r="H1935" s="1">
        <v>1</v>
      </c>
      <c r="I1935" s="1">
        <v>1</v>
      </c>
      <c r="J1935" s="1">
        <v>1</v>
      </c>
      <c r="K1935" s="1">
        <v>1</v>
      </c>
      <c r="M1935" s="1">
        <v>737</v>
      </c>
      <c r="N1935" s="1">
        <v>1050.0899999999999</v>
      </c>
      <c r="O1935" s="1">
        <v>1444.48</v>
      </c>
      <c r="P1935" s="1">
        <v>394.416666666666</v>
      </c>
      <c r="Q1935" s="1" t="s">
        <v>42</v>
      </c>
      <c r="S1935" s="1" t="s">
        <v>42</v>
      </c>
      <c r="T1935" s="1" t="s">
        <v>203</v>
      </c>
      <c r="U1935" s="1">
        <v>95</v>
      </c>
      <c r="V1935" s="5">
        <v>43638</v>
      </c>
      <c r="W1935" s="5">
        <v>43184</v>
      </c>
      <c r="X1935" s="1">
        <v>1445000</v>
      </c>
      <c r="Y1935" s="1">
        <v>1455000</v>
      </c>
      <c r="Z1935" s="5">
        <v>43279</v>
      </c>
      <c r="AA1935" s="1">
        <v>1415000</v>
      </c>
      <c r="AB1935" s="1" t="s">
        <v>1476</v>
      </c>
      <c r="AC1935" s="5">
        <v>43524</v>
      </c>
      <c r="AF1935" s="1">
        <v>10016</v>
      </c>
      <c r="AI1935" s="1" t="s">
        <v>1464</v>
      </c>
      <c r="AJ1935" s="1">
        <v>2018</v>
      </c>
      <c r="AK1935" s="1" t="s">
        <v>87</v>
      </c>
      <c r="AL1935" s="1">
        <v>74</v>
      </c>
    </row>
    <row r="1936" spans="1:38" x14ac:dyDescent="0.2">
      <c r="A1936" s="2" t="str">
        <f>HYPERLINK("https://www.compass.com/listing/591-3rd-avenue-unit-7a-manhattan-ny-10016/29509779063923297/","591 3rd Ave, Unit 7A")</f>
        <v>591 3rd Ave, Unit 7A</v>
      </c>
      <c r="B1936" s="2" t="str">
        <f t="shared" si="326"/>
        <v>The Lindley</v>
      </c>
      <c r="C1936" s="1" t="s">
        <v>165</v>
      </c>
      <c r="D1936" s="1" t="s">
        <v>41</v>
      </c>
      <c r="E1936" s="3">
        <v>1479463</v>
      </c>
      <c r="G1936" s="1">
        <v>3</v>
      </c>
      <c r="H1936" s="1">
        <v>1</v>
      </c>
      <c r="I1936" s="1">
        <v>1</v>
      </c>
      <c r="J1936" s="1">
        <v>1</v>
      </c>
      <c r="K1936" s="1">
        <v>1</v>
      </c>
      <c r="N1936" s="1">
        <v>1045.3699999999999</v>
      </c>
      <c r="O1936" s="1">
        <v>1437.98999999999</v>
      </c>
      <c r="P1936" s="1">
        <v>392.58333333333297</v>
      </c>
      <c r="Q1936" s="1" t="s">
        <v>42</v>
      </c>
      <c r="S1936" s="1" t="s">
        <v>42</v>
      </c>
      <c r="T1936" s="1" t="s">
        <v>203</v>
      </c>
      <c r="U1936" s="1">
        <v>41</v>
      </c>
      <c r="V1936" s="5">
        <v>43638</v>
      </c>
      <c r="W1936" s="5">
        <v>43224</v>
      </c>
      <c r="X1936" s="1">
        <v>1450000</v>
      </c>
      <c r="Y1936" s="1">
        <v>1450000</v>
      </c>
      <c r="Z1936" s="5">
        <v>43265</v>
      </c>
      <c r="AA1936" s="1">
        <v>1479463</v>
      </c>
      <c r="AB1936" s="1" t="s">
        <v>1477</v>
      </c>
      <c r="AC1936" s="5">
        <v>43379</v>
      </c>
      <c r="AF1936" s="1">
        <v>10016</v>
      </c>
      <c r="AI1936" s="1" t="s">
        <v>1464</v>
      </c>
      <c r="AJ1936" s="1">
        <v>2018</v>
      </c>
      <c r="AK1936" s="1" t="s">
        <v>87</v>
      </c>
      <c r="AL1936" s="1">
        <v>74</v>
      </c>
    </row>
    <row r="1937" spans="1:38" x14ac:dyDescent="0.2">
      <c r="A1937" s="2" t="str">
        <f>HYPERLINK("https://www.compass.com/listing/591-3rd-avenue-unit-14c-manhattan-ny-10016/46293562815425761/","591 3rd Ave, Unit 14C")</f>
        <v>591 3rd Ave, Unit 14C</v>
      </c>
      <c r="B1937" s="2" t="str">
        <f t="shared" si="326"/>
        <v>The Lindley</v>
      </c>
      <c r="C1937" s="1" t="s">
        <v>165</v>
      </c>
      <c r="D1937" s="1" t="s">
        <v>41</v>
      </c>
      <c r="E1937" s="3">
        <v>1445000</v>
      </c>
      <c r="F1937" s="1">
        <v>1960.65128900949</v>
      </c>
      <c r="G1937" s="1">
        <v>3</v>
      </c>
      <c r="H1937" s="1">
        <v>1</v>
      </c>
      <c r="I1937" s="1">
        <v>1</v>
      </c>
      <c r="J1937" s="1">
        <v>1</v>
      </c>
      <c r="K1937" s="1">
        <v>1</v>
      </c>
      <c r="M1937" s="1">
        <v>737</v>
      </c>
      <c r="N1937" s="1">
        <v>1060.1400000000001</v>
      </c>
      <c r="O1937" s="1">
        <v>1458.31</v>
      </c>
      <c r="P1937" s="1">
        <v>398.166666666666</v>
      </c>
      <c r="Q1937" s="1" t="s">
        <v>42</v>
      </c>
      <c r="S1937" s="1" t="s">
        <v>42</v>
      </c>
      <c r="T1937" s="1" t="s">
        <v>203</v>
      </c>
      <c r="U1937" s="1">
        <v>36</v>
      </c>
      <c r="V1937" s="5">
        <v>43638</v>
      </c>
      <c r="W1937" s="5">
        <v>43316</v>
      </c>
      <c r="X1937" s="1">
        <v>1495000</v>
      </c>
      <c r="Y1937" s="1">
        <v>1495000</v>
      </c>
      <c r="Z1937" s="5">
        <v>43352</v>
      </c>
      <c r="AA1937" s="1">
        <v>1445000</v>
      </c>
      <c r="AB1937" s="1" t="s">
        <v>1478</v>
      </c>
      <c r="AC1937" s="5">
        <v>43419</v>
      </c>
      <c r="AF1937" s="1">
        <v>10016</v>
      </c>
      <c r="AI1937" s="1" t="s">
        <v>1464</v>
      </c>
      <c r="AJ1937" s="1">
        <v>2018</v>
      </c>
      <c r="AK1937" s="1" t="s">
        <v>87</v>
      </c>
      <c r="AL1937" s="1">
        <v>74</v>
      </c>
    </row>
    <row r="1938" spans="1:38" x14ac:dyDescent="0.2">
      <c r="A1938" s="2" t="str">
        <f>HYPERLINK("https://www.compass.com/listing/591-3rd-avenue-unit-6d-manhattan-ny-10016/29509774097785729/","591 3rd Ave, Unit 6D")</f>
        <v>591 3rd Ave, Unit 6D</v>
      </c>
      <c r="B1938" s="2" t="str">
        <f t="shared" si="326"/>
        <v>The Lindley</v>
      </c>
      <c r="C1938" s="1" t="s">
        <v>165</v>
      </c>
      <c r="D1938" s="1" t="s">
        <v>41</v>
      </c>
      <c r="E1938" s="3">
        <v>1275000</v>
      </c>
      <c r="G1938" s="1">
        <v>3</v>
      </c>
      <c r="H1938" s="1">
        <v>1</v>
      </c>
      <c r="I1938" s="1">
        <v>1</v>
      </c>
      <c r="J1938" s="1">
        <v>1</v>
      </c>
      <c r="K1938" s="1">
        <v>1</v>
      </c>
      <c r="N1938" s="1">
        <v>1024.97</v>
      </c>
      <c r="O1938" s="1">
        <v>1409.93</v>
      </c>
      <c r="P1938" s="1">
        <v>385</v>
      </c>
      <c r="Q1938" s="1" t="s">
        <v>42</v>
      </c>
      <c r="S1938" s="1" t="s">
        <v>42</v>
      </c>
      <c r="T1938" s="1" t="s">
        <v>203</v>
      </c>
      <c r="U1938" s="1">
        <v>196</v>
      </c>
      <c r="V1938" s="5">
        <v>43648</v>
      </c>
      <c r="W1938" s="5">
        <v>43189</v>
      </c>
      <c r="X1938" s="1">
        <v>1345000</v>
      </c>
      <c r="Y1938" s="1">
        <v>1345000</v>
      </c>
      <c r="Z1938" s="5">
        <v>43385</v>
      </c>
      <c r="AA1938" s="1">
        <v>1275000</v>
      </c>
      <c r="AB1938" s="1" t="s">
        <v>1479</v>
      </c>
      <c r="AC1938" s="5">
        <v>43419</v>
      </c>
      <c r="AF1938" s="1">
        <v>10016</v>
      </c>
      <c r="AI1938" s="1" t="s">
        <v>1464</v>
      </c>
      <c r="AJ1938" s="1">
        <v>2018</v>
      </c>
      <c r="AK1938" s="1" t="s">
        <v>87</v>
      </c>
      <c r="AL1938" s="1">
        <v>74</v>
      </c>
    </row>
    <row r="1939" spans="1:38" x14ac:dyDescent="0.2">
      <c r="A1939" s="2" t="str">
        <f>HYPERLINK("https://www.compass.com/listing/591-3rd-avenue-unit-9a-manhattan-ny-10016/29509774399831425/","591 3rd Ave, Unit 9A")</f>
        <v>591 3rd Ave, Unit 9A</v>
      </c>
      <c r="B1939" s="2" t="str">
        <f t="shared" si="326"/>
        <v>The Lindley</v>
      </c>
      <c r="C1939" s="1" t="s">
        <v>165</v>
      </c>
      <c r="D1939" s="1" t="s">
        <v>41</v>
      </c>
      <c r="E1939" s="3">
        <v>1494736</v>
      </c>
      <c r="F1939" s="1">
        <v>1998.3101604277999</v>
      </c>
      <c r="G1939" s="1">
        <v>3</v>
      </c>
      <c r="H1939" s="1">
        <v>1</v>
      </c>
      <c r="I1939" s="1">
        <v>1</v>
      </c>
      <c r="J1939" s="1">
        <v>1</v>
      </c>
      <c r="K1939" s="1">
        <v>1</v>
      </c>
      <c r="M1939" s="1">
        <v>748</v>
      </c>
      <c r="N1939" s="1">
        <v>1055.17</v>
      </c>
      <c r="O1939" s="1">
        <v>1451.47</v>
      </c>
      <c r="P1939" s="1">
        <v>396.33333333333297</v>
      </c>
      <c r="Q1939" s="1" t="s">
        <v>42</v>
      </c>
      <c r="S1939" s="1" t="s">
        <v>42</v>
      </c>
      <c r="T1939" s="1" t="s">
        <v>203</v>
      </c>
      <c r="U1939" s="1">
        <v>228</v>
      </c>
      <c r="V1939" s="5">
        <v>43640</v>
      </c>
      <c r="W1939" s="5">
        <v>42923</v>
      </c>
      <c r="X1939" s="1">
        <v>1465000</v>
      </c>
      <c r="Y1939" s="1">
        <v>1465000</v>
      </c>
      <c r="Z1939" s="5">
        <v>43151</v>
      </c>
      <c r="AA1939" s="1">
        <v>1494736</v>
      </c>
      <c r="AB1939" s="1" t="s">
        <v>1480</v>
      </c>
      <c r="AC1939" s="5">
        <v>43356</v>
      </c>
      <c r="AF1939" s="1">
        <v>10016</v>
      </c>
      <c r="AI1939" s="1" t="s">
        <v>1464</v>
      </c>
      <c r="AJ1939" s="1">
        <v>2018</v>
      </c>
      <c r="AK1939" s="1" t="s">
        <v>87</v>
      </c>
      <c r="AL1939" s="1">
        <v>74</v>
      </c>
    </row>
    <row r="1940" spans="1:38" x14ac:dyDescent="0.2">
      <c r="A1940" s="2" t="str">
        <f>HYPERLINK("https://www.compass.com/listing/591-3rd-avenue-unit-11d-manhattan-ny-10016/803334815554140065/","591 3rd Ave, Unit 11D")</f>
        <v>591 3rd Ave, Unit 11D</v>
      </c>
      <c r="B1940" s="2" t="str">
        <f t="shared" si="326"/>
        <v>The Lindley</v>
      </c>
      <c r="C1940" s="1" t="s">
        <v>165</v>
      </c>
      <c r="D1940" s="1" t="s">
        <v>41</v>
      </c>
      <c r="E1940" s="3">
        <v>982611</v>
      </c>
      <c r="F1940" s="1">
        <v>1665.44279661016</v>
      </c>
      <c r="G1940" s="1">
        <v>2</v>
      </c>
      <c r="H1940" s="1" t="s">
        <v>77</v>
      </c>
      <c r="I1940" s="1">
        <v>1</v>
      </c>
      <c r="J1940" s="1">
        <v>1</v>
      </c>
      <c r="M1940" s="1">
        <v>590</v>
      </c>
      <c r="N1940" s="1">
        <v>839</v>
      </c>
      <c r="O1940" s="1">
        <v>1154</v>
      </c>
      <c r="P1940" s="1">
        <v>315</v>
      </c>
      <c r="Q1940" s="1" t="s">
        <v>42</v>
      </c>
      <c r="S1940" s="1" t="s">
        <v>42</v>
      </c>
      <c r="T1940" s="1" t="s">
        <v>203</v>
      </c>
      <c r="U1940" s="1">
        <v>30</v>
      </c>
      <c r="V1940" s="5">
        <v>43272</v>
      </c>
      <c r="W1940" s="5">
        <v>43014</v>
      </c>
      <c r="X1940" s="1">
        <v>965000</v>
      </c>
      <c r="Y1940" s="1">
        <v>965000</v>
      </c>
      <c r="Z1940" s="5">
        <v>43045</v>
      </c>
      <c r="AA1940" s="1">
        <v>982611.25</v>
      </c>
      <c r="AB1940" s="1" t="s">
        <v>1465</v>
      </c>
      <c r="AC1940" s="5">
        <v>43384</v>
      </c>
      <c r="AF1940" s="1">
        <v>10016</v>
      </c>
      <c r="AI1940" s="1" t="s">
        <v>1464</v>
      </c>
      <c r="AJ1940" s="1">
        <v>2018</v>
      </c>
      <c r="AK1940" s="1" t="s">
        <v>55</v>
      </c>
      <c r="AL1940" s="1">
        <v>74</v>
      </c>
    </row>
    <row r="1941" spans="1:38" x14ac:dyDescent="0.2">
      <c r="A1941" s="2" t="str">
        <f>HYPERLINK("https://www.compass.com/listing/591-3rd-avenue-unit-4d-manhattan-ny-10016/14532472767265585/","591 3rd Ave, Unit 4D")</f>
        <v>591 3rd Ave, Unit 4D</v>
      </c>
      <c r="B1941" s="2" t="str">
        <f t="shared" si="326"/>
        <v>The Lindley</v>
      </c>
      <c r="C1941" s="1" t="s">
        <v>165</v>
      </c>
      <c r="D1941" s="1" t="s">
        <v>41</v>
      </c>
      <c r="E1941" s="3">
        <v>1303360</v>
      </c>
      <c r="F1941" s="1">
        <v>1768.46675712347</v>
      </c>
      <c r="G1941" s="1">
        <v>3</v>
      </c>
      <c r="H1941" s="1">
        <v>1</v>
      </c>
      <c r="I1941" s="1">
        <v>1</v>
      </c>
      <c r="J1941" s="1">
        <v>1</v>
      </c>
      <c r="K1941" s="1">
        <v>1</v>
      </c>
      <c r="M1941" s="1">
        <v>737</v>
      </c>
      <c r="N1941" s="1">
        <v>1014.92</v>
      </c>
      <c r="O1941" s="1">
        <v>1396.11</v>
      </c>
      <c r="P1941" s="1">
        <v>381.166666666666</v>
      </c>
      <c r="Q1941" s="1" t="s">
        <v>42</v>
      </c>
      <c r="S1941" s="1" t="s">
        <v>42</v>
      </c>
      <c r="T1941" s="1" t="s">
        <v>203</v>
      </c>
      <c r="U1941" s="1">
        <v>48</v>
      </c>
      <c r="V1941" s="5">
        <v>43650</v>
      </c>
      <c r="W1941" s="5">
        <v>43353</v>
      </c>
      <c r="X1941" s="1">
        <v>1280000</v>
      </c>
      <c r="Y1941" s="1">
        <v>1280000</v>
      </c>
      <c r="Z1941" s="5">
        <v>43401</v>
      </c>
      <c r="AA1941" s="1">
        <v>1303360</v>
      </c>
      <c r="AB1941" s="1" t="s">
        <v>1481</v>
      </c>
      <c r="AC1941" s="5">
        <v>43446</v>
      </c>
      <c r="AF1941" s="1">
        <v>10016</v>
      </c>
      <c r="AI1941" s="1" t="s">
        <v>1464</v>
      </c>
      <c r="AJ1941" s="1">
        <v>2018</v>
      </c>
      <c r="AK1941" s="1" t="s">
        <v>87</v>
      </c>
      <c r="AL1941" s="1">
        <v>74</v>
      </c>
    </row>
    <row r="1942" spans="1:38" x14ac:dyDescent="0.2">
      <c r="A1942" s="2" t="str">
        <f>HYPERLINK("https://www.compass.com/listing/591-3rd-avenue-unit-8b-manhattan-ny-10016/29509769509216913/","591 3rd Ave, Unit 8B")</f>
        <v>591 3rd Ave, Unit 8B</v>
      </c>
      <c r="B1942" s="2" t="str">
        <f t="shared" si="326"/>
        <v>The Lindley</v>
      </c>
      <c r="C1942" s="1" t="s">
        <v>165</v>
      </c>
      <c r="D1942" s="1" t="s">
        <v>41</v>
      </c>
      <c r="E1942" s="3">
        <v>1445915</v>
      </c>
      <c r="F1942" s="1">
        <v>1848.99616368286</v>
      </c>
      <c r="G1942" s="1">
        <v>3</v>
      </c>
      <c r="H1942" s="1">
        <v>1</v>
      </c>
      <c r="I1942" s="1">
        <v>1</v>
      </c>
      <c r="J1942" s="1">
        <v>1</v>
      </c>
      <c r="K1942" s="1">
        <v>1</v>
      </c>
      <c r="M1942" s="1">
        <v>782</v>
      </c>
      <c r="N1942" s="1">
        <v>1097.8399999999999</v>
      </c>
      <c r="O1942" s="1">
        <v>1510.1699999999901</v>
      </c>
      <c r="P1942" s="1">
        <v>412.33333333333297</v>
      </c>
      <c r="Q1942" s="1" t="s">
        <v>42</v>
      </c>
      <c r="S1942" s="1" t="s">
        <v>42</v>
      </c>
      <c r="T1942" s="1" t="s">
        <v>203</v>
      </c>
      <c r="U1942" s="1">
        <v>30</v>
      </c>
      <c r="V1942" s="5">
        <v>43640</v>
      </c>
      <c r="W1942" s="5">
        <v>43088</v>
      </c>
      <c r="X1942" s="1">
        <v>1420000</v>
      </c>
      <c r="Y1942" s="1">
        <v>1420000</v>
      </c>
      <c r="Z1942" s="5">
        <v>43118</v>
      </c>
      <c r="AA1942" s="1">
        <v>1445915</v>
      </c>
      <c r="AB1942" s="1" t="s">
        <v>1482</v>
      </c>
      <c r="AC1942" s="5">
        <v>43378</v>
      </c>
      <c r="AF1942" s="1">
        <v>10016</v>
      </c>
      <c r="AI1942" s="1" t="s">
        <v>1464</v>
      </c>
      <c r="AJ1942" s="1">
        <v>2018</v>
      </c>
      <c r="AK1942" s="1" t="s">
        <v>87</v>
      </c>
      <c r="AL1942" s="1">
        <v>74</v>
      </c>
    </row>
    <row r="1943" spans="1:38" x14ac:dyDescent="0.2">
      <c r="A1943" s="2" t="str">
        <f>HYPERLINK("https://www.compass.com/listing/591-3rd-avenue-unit-9c-manhattan-ny-10016/29509770012589233/","591 3rd Ave, Unit 9C")</f>
        <v>591 3rd Ave, Unit 9C</v>
      </c>
      <c r="B1943" s="2" t="str">
        <f t="shared" si="326"/>
        <v>The Lindley</v>
      </c>
      <c r="C1943" s="1" t="s">
        <v>165</v>
      </c>
      <c r="D1943" s="1" t="s">
        <v>41</v>
      </c>
      <c r="E1943" s="3">
        <v>1448915</v>
      </c>
      <c r="F1943" s="1">
        <v>1852.83248081841</v>
      </c>
      <c r="G1943" s="1">
        <v>3</v>
      </c>
      <c r="H1943" s="1">
        <v>1</v>
      </c>
      <c r="I1943" s="1">
        <v>1</v>
      </c>
      <c r="J1943" s="1">
        <v>1</v>
      </c>
      <c r="K1943" s="1">
        <v>1</v>
      </c>
      <c r="M1943" s="1">
        <v>782</v>
      </c>
      <c r="N1943" s="1">
        <v>1103.1099999999999</v>
      </c>
      <c r="O1943" s="1">
        <v>1517.4199999999901</v>
      </c>
      <c r="P1943" s="1">
        <v>414.33333333333297</v>
      </c>
      <c r="Q1943" s="1" t="s">
        <v>42</v>
      </c>
      <c r="S1943" s="1" t="s">
        <v>42</v>
      </c>
      <c r="T1943" s="1" t="s">
        <v>203</v>
      </c>
      <c r="U1943" s="1">
        <v>421</v>
      </c>
      <c r="V1943" s="5">
        <v>43806</v>
      </c>
      <c r="W1943" s="5">
        <v>42970</v>
      </c>
      <c r="X1943" s="1">
        <v>1420000</v>
      </c>
      <c r="Y1943" s="1">
        <v>1420000</v>
      </c>
      <c r="AA1943" s="1">
        <v>1448915</v>
      </c>
      <c r="AB1943" s="1" t="s">
        <v>1483</v>
      </c>
      <c r="AC1943" s="5">
        <v>43391</v>
      </c>
      <c r="AF1943" s="1">
        <v>10016</v>
      </c>
      <c r="AI1943" s="1" t="s">
        <v>1464</v>
      </c>
      <c r="AJ1943" s="1">
        <v>2018</v>
      </c>
      <c r="AK1943" s="1" t="s">
        <v>87</v>
      </c>
      <c r="AL1943" s="1">
        <v>74</v>
      </c>
    </row>
    <row r="1944" spans="1:38" x14ac:dyDescent="0.2">
      <c r="A1944" s="2" t="str">
        <f>HYPERLINK("https://www.compass.com/listing/591-3rd-avenue-unit-3b-manhattan-ny-10016/29509771748975361/","591 3rd Ave, Unit 3B")</f>
        <v>591 3rd Ave, Unit 3B</v>
      </c>
      <c r="B1944" s="2" t="str">
        <f t="shared" si="326"/>
        <v>The Lindley</v>
      </c>
      <c r="C1944" s="1" t="s">
        <v>165</v>
      </c>
      <c r="D1944" s="1" t="s">
        <v>41</v>
      </c>
      <c r="E1944" s="3">
        <v>1344090</v>
      </c>
      <c r="F1944" s="1">
        <v>1741.04922279792</v>
      </c>
      <c r="G1944" s="1">
        <v>3</v>
      </c>
      <c r="H1944" s="1">
        <v>1</v>
      </c>
      <c r="I1944" s="1">
        <v>1</v>
      </c>
      <c r="J1944" s="1">
        <v>1</v>
      </c>
      <c r="K1944" s="1">
        <v>1</v>
      </c>
      <c r="M1944" s="1">
        <v>772</v>
      </c>
      <c r="N1944" s="1">
        <v>1056.1300000000001</v>
      </c>
      <c r="O1944" s="1">
        <v>1057.1300000000001</v>
      </c>
      <c r="P1944" s="1">
        <v>1</v>
      </c>
      <c r="Q1944" s="1" t="s">
        <v>42</v>
      </c>
      <c r="S1944" s="1" t="s">
        <v>42</v>
      </c>
      <c r="T1944" s="1" t="s">
        <v>203</v>
      </c>
      <c r="U1944" s="1">
        <v>112</v>
      </c>
      <c r="V1944" s="5">
        <v>43638</v>
      </c>
      <c r="W1944" s="5">
        <v>42963</v>
      </c>
      <c r="X1944" s="1">
        <v>1320000</v>
      </c>
      <c r="Y1944" s="1">
        <v>1320000</v>
      </c>
      <c r="Z1944" s="5">
        <v>43075</v>
      </c>
      <c r="AA1944" s="1">
        <v>1344090</v>
      </c>
      <c r="AB1944" s="1" t="s">
        <v>1484</v>
      </c>
      <c r="AC1944" s="5">
        <v>43405</v>
      </c>
      <c r="AF1944" s="1">
        <v>10016</v>
      </c>
      <c r="AI1944" s="1" t="s">
        <v>1464</v>
      </c>
      <c r="AJ1944" s="1">
        <v>2018</v>
      </c>
      <c r="AK1944" s="1" t="s">
        <v>87</v>
      </c>
      <c r="AL1944" s="1">
        <v>74</v>
      </c>
    </row>
    <row r="1945" spans="1:38" x14ac:dyDescent="0.2">
      <c r="A1945" s="2" t="str">
        <f>HYPERLINK("https://www.compass.com/listing/591-3rd-avenue-unit-7d-manhattan-ny-10016/29509772671803617/","591 3rd Ave, Unit 7D")</f>
        <v>591 3rd Ave, Unit 7D</v>
      </c>
      <c r="B1945" s="2" t="str">
        <f t="shared" si="326"/>
        <v>The Lindley</v>
      </c>
      <c r="C1945" s="1" t="s">
        <v>165</v>
      </c>
      <c r="D1945" s="1" t="s">
        <v>41</v>
      </c>
      <c r="E1945" s="3">
        <v>1389911</v>
      </c>
      <c r="F1945" s="1">
        <v>1885.9036635006701</v>
      </c>
      <c r="G1945" s="1">
        <v>3</v>
      </c>
      <c r="H1945" s="1">
        <v>1</v>
      </c>
      <c r="I1945" s="1">
        <v>1</v>
      </c>
      <c r="J1945" s="1">
        <v>1</v>
      </c>
      <c r="K1945" s="1">
        <v>1</v>
      </c>
      <c r="M1945" s="1">
        <v>737</v>
      </c>
      <c r="N1945" s="1">
        <v>1029.67</v>
      </c>
      <c r="O1945" s="1">
        <v>1416.39</v>
      </c>
      <c r="P1945" s="1">
        <v>386.75</v>
      </c>
      <c r="Q1945" s="1" t="s">
        <v>42</v>
      </c>
      <c r="S1945" s="1" t="s">
        <v>42</v>
      </c>
      <c r="T1945" s="1" t="s">
        <v>203</v>
      </c>
      <c r="U1945" s="1">
        <v>230</v>
      </c>
      <c r="V1945" s="5">
        <v>43643</v>
      </c>
      <c r="W1945" s="5">
        <v>42930</v>
      </c>
      <c r="X1945" s="1">
        <v>1365000</v>
      </c>
      <c r="Y1945" s="1">
        <v>1365000</v>
      </c>
      <c r="Z1945" s="5">
        <v>43160</v>
      </c>
      <c r="AA1945" s="1">
        <v>1389911</v>
      </c>
      <c r="AB1945" s="1" t="s">
        <v>1485</v>
      </c>
      <c r="AC1945" s="5">
        <v>43392</v>
      </c>
      <c r="AF1945" s="1">
        <v>10016</v>
      </c>
      <c r="AI1945" s="1" t="s">
        <v>1464</v>
      </c>
      <c r="AJ1945" s="1">
        <v>2018</v>
      </c>
      <c r="AK1945" s="1" t="s">
        <v>87</v>
      </c>
      <c r="AL1945" s="1">
        <v>74</v>
      </c>
    </row>
    <row r="1946" spans="1:38" x14ac:dyDescent="0.2">
      <c r="A1946" s="2" t="str">
        <f>HYPERLINK("https://www.compass.com/listing/591-3rd-avenue-unit-6c-manhattan-ny-10016/29509775104418753/","591 3rd Ave, Unit 6C")</f>
        <v>591 3rd Ave, Unit 6C</v>
      </c>
      <c r="B1946" s="2" t="str">
        <f t="shared" si="326"/>
        <v>The Lindley</v>
      </c>
      <c r="C1946" s="1" t="s">
        <v>165</v>
      </c>
      <c r="D1946" s="1" t="s">
        <v>41</v>
      </c>
      <c r="E1946" s="3">
        <v>1387820</v>
      </c>
      <c r="G1946" s="1">
        <v>3</v>
      </c>
      <c r="H1946" s="1">
        <v>1</v>
      </c>
      <c r="I1946" s="1">
        <v>1</v>
      </c>
      <c r="J1946" s="1">
        <v>1</v>
      </c>
      <c r="K1946" s="1">
        <v>1</v>
      </c>
      <c r="N1946" s="1">
        <v>1087.2</v>
      </c>
      <c r="O1946" s="1">
        <v>1495.53</v>
      </c>
      <c r="P1946" s="1">
        <v>408.33333333333297</v>
      </c>
      <c r="Q1946" s="1" t="s">
        <v>42</v>
      </c>
      <c r="S1946" s="1" t="s">
        <v>42</v>
      </c>
      <c r="T1946" s="1" t="s">
        <v>203</v>
      </c>
      <c r="U1946" s="1">
        <v>55</v>
      </c>
      <c r="V1946" s="5">
        <v>43645</v>
      </c>
      <c r="W1946" s="5">
        <v>42923</v>
      </c>
      <c r="X1946" s="1">
        <v>1360000</v>
      </c>
      <c r="Y1946" s="1">
        <v>1360000</v>
      </c>
      <c r="Z1946" s="5">
        <v>42978</v>
      </c>
      <c r="AA1946" s="1">
        <v>1387820</v>
      </c>
      <c r="AB1946" s="1" t="s">
        <v>1486</v>
      </c>
      <c r="AC1946" s="5">
        <v>43385</v>
      </c>
      <c r="AF1946" s="1">
        <v>10016</v>
      </c>
      <c r="AI1946" s="1" t="s">
        <v>1464</v>
      </c>
      <c r="AJ1946" s="1">
        <v>2018</v>
      </c>
      <c r="AK1946" s="1" t="s">
        <v>87</v>
      </c>
      <c r="AL1946" s="1">
        <v>74</v>
      </c>
    </row>
    <row r="1947" spans="1:38" x14ac:dyDescent="0.2">
      <c r="A1947" s="2" t="str">
        <f>HYPERLINK("https://www.compass.com/listing/591-3rd-avenue-unit-15c-manhattan-ny-10016/29509775465184721/","591 3rd Ave, Unit 15C")</f>
        <v>591 3rd Ave, Unit 15C</v>
      </c>
      <c r="B1947" s="2" t="str">
        <f t="shared" si="326"/>
        <v>The Lindley</v>
      </c>
      <c r="C1947" s="1" t="s">
        <v>165</v>
      </c>
      <c r="D1947" s="1" t="s">
        <v>41</v>
      </c>
      <c r="E1947" s="3">
        <v>1532466</v>
      </c>
      <c r="F1947" s="1">
        <v>2079.3297150610501</v>
      </c>
      <c r="G1947" s="1">
        <v>3</v>
      </c>
      <c r="H1947" s="1">
        <v>1</v>
      </c>
      <c r="I1947" s="1">
        <v>1</v>
      </c>
      <c r="J1947" s="1">
        <v>1</v>
      </c>
      <c r="K1947" s="1">
        <v>1</v>
      </c>
      <c r="M1947" s="1">
        <v>737</v>
      </c>
      <c r="N1947" s="1">
        <v>1064.76</v>
      </c>
      <c r="O1947" s="1">
        <v>1464.6599999999901</v>
      </c>
      <c r="P1947" s="1">
        <v>399.916666666666</v>
      </c>
      <c r="Q1947" s="1" t="s">
        <v>42</v>
      </c>
      <c r="S1947" s="1" t="s">
        <v>42</v>
      </c>
      <c r="T1947" s="1" t="s">
        <v>203</v>
      </c>
      <c r="U1947" s="1">
        <v>228</v>
      </c>
      <c r="V1947" s="5">
        <v>43638</v>
      </c>
      <c r="W1947" s="5">
        <v>42923</v>
      </c>
      <c r="X1947" s="1">
        <v>1505000</v>
      </c>
      <c r="Y1947" s="1">
        <v>1505000</v>
      </c>
      <c r="Z1947" s="5">
        <v>43151</v>
      </c>
      <c r="AA1947" s="1">
        <v>1532466</v>
      </c>
      <c r="AB1947" s="1" t="s">
        <v>1487</v>
      </c>
      <c r="AC1947" s="5">
        <v>43385</v>
      </c>
      <c r="AF1947" s="1">
        <v>10016</v>
      </c>
      <c r="AI1947" s="1" t="s">
        <v>1464</v>
      </c>
      <c r="AJ1947" s="1">
        <v>2018</v>
      </c>
      <c r="AK1947" s="1" t="s">
        <v>87</v>
      </c>
      <c r="AL1947" s="1">
        <v>74</v>
      </c>
    </row>
    <row r="1948" spans="1:38" x14ac:dyDescent="0.2">
      <c r="A1948" s="2" t="str">
        <f>HYPERLINK("https://www.compass.com/listing/591-3rd-avenue-unit-6a-manhattan-ny-10016/29509776664755761/","591 3rd Ave, Unit 6A")</f>
        <v>591 3rd Ave, Unit 6A</v>
      </c>
      <c r="B1948" s="2" t="str">
        <f t="shared" si="326"/>
        <v>The Lindley</v>
      </c>
      <c r="C1948" s="1" t="s">
        <v>165</v>
      </c>
      <c r="D1948" s="1" t="s">
        <v>41</v>
      </c>
      <c r="E1948" s="3">
        <v>1430641</v>
      </c>
      <c r="F1948" s="1">
        <v>1912.6216577540099</v>
      </c>
      <c r="G1948" s="1">
        <v>3</v>
      </c>
      <c r="H1948" s="1">
        <v>1</v>
      </c>
      <c r="I1948" s="1">
        <v>1</v>
      </c>
      <c r="J1948" s="1">
        <v>1</v>
      </c>
      <c r="K1948" s="1">
        <v>1</v>
      </c>
      <c r="M1948" s="1">
        <v>748</v>
      </c>
      <c r="N1948" s="1">
        <v>1039.93</v>
      </c>
      <c r="O1948" s="1">
        <v>1430.51</v>
      </c>
      <c r="P1948" s="1">
        <v>390.58333333333297</v>
      </c>
      <c r="Q1948" s="1" t="s">
        <v>42</v>
      </c>
      <c r="S1948" s="1" t="s">
        <v>42</v>
      </c>
      <c r="T1948" s="1" t="s">
        <v>203</v>
      </c>
      <c r="U1948" s="1">
        <v>15</v>
      </c>
      <c r="V1948" s="5">
        <v>43638</v>
      </c>
      <c r="W1948" s="5">
        <v>42980</v>
      </c>
      <c r="X1948" s="1">
        <v>1405000</v>
      </c>
      <c r="Y1948" s="1">
        <v>1405000</v>
      </c>
      <c r="Z1948" s="5">
        <v>42995</v>
      </c>
      <c r="AA1948" s="1">
        <v>1430641</v>
      </c>
      <c r="AB1948" s="1" t="s">
        <v>1488</v>
      </c>
      <c r="AC1948" s="5">
        <v>43378</v>
      </c>
      <c r="AF1948" s="1">
        <v>10016</v>
      </c>
      <c r="AI1948" s="1" t="s">
        <v>1464</v>
      </c>
      <c r="AJ1948" s="1">
        <v>2018</v>
      </c>
      <c r="AK1948" s="1" t="s">
        <v>87</v>
      </c>
      <c r="AL1948" s="1">
        <v>74</v>
      </c>
    </row>
    <row r="1949" spans="1:38" x14ac:dyDescent="0.2">
      <c r="A1949" s="2" t="str">
        <f>HYPERLINK("https://www.compass.com/listing/320-west-115th-street-unit-3-manhattan-ny-10026/29430089728926673/","320 W 115th St, Unit 3")</f>
        <v>320 W 115th St, Unit 3</v>
      </c>
      <c r="B1949" s="2" t="str">
        <f t="shared" ref="B1949:B1952" si="327">HYPERLINK("https://www.compass.com/building/320-w-115th-st-manhattan-ny-10026/281976507021227397/","320 W 115th St")</f>
        <v>320 W 115th St</v>
      </c>
      <c r="C1949" s="1" t="s">
        <v>131</v>
      </c>
      <c r="D1949" s="1" t="s">
        <v>41</v>
      </c>
      <c r="E1949" s="3">
        <v>2632000</v>
      </c>
      <c r="F1949" s="1">
        <v>1344.2288049029601</v>
      </c>
      <c r="G1949" s="1">
        <v>6</v>
      </c>
      <c r="H1949" s="1">
        <v>4</v>
      </c>
      <c r="I1949" s="1">
        <v>3</v>
      </c>
      <c r="J1949" s="1">
        <v>3</v>
      </c>
      <c r="M1949" s="4">
        <v>1958</v>
      </c>
      <c r="N1949" s="1">
        <v>1381</v>
      </c>
      <c r="O1949" s="1">
        <v>2560</v>
      </c>
      <c r="P1949" s="1">
        <v>1179</v>
      </c>
      <c r="Q1949" s="1" t="s">
        <v>42</v>
      </c>
      <c r="S1949" s="1" t="s">
        <v>42</v>
      </c>
      <c r="T1949" s="1" t="s">
        <v>203</v>
      </c>
      <c r="U1949" s="1">
        <v>49</v>
      </c>
      <c r="V1949" s="5">
        <v>43649</v>
      </c>
      <c r="W1949" s="5">
        <v>42220</v>
      </c>
      <c r="X1949" s="1">
        <v>2547000</v>
      </c>
      <c r="Y1949" s="1">
        <v>2632000</v>
      </c>
      <c r="Z1949" s="5">
        <v>42269</v>
      </c>
      <c r="AA1949" s="1">
        <v>2632000</v>
      </c>
      <c r="AB1949" s="1" t="s">
        <v>1489</v>
      </c>
      <c r="AC1949" s="5">
        <v>43088</v>
      </c>
      <c r="AF1949" s="1">
        <v>10026</v>
      </c>
      <c r="AI1949" s="1" t="s">
        <v>1490</v>
      </c>
      <c r="AJ1949" s="1">
        <v>1900</v>
      </c>
      <c r="AL1949" s="1">
        <v>6</v>
      </c>
    </row>
    <row r="1950" spans="1:38" x14ac:dyDescent="0.2">
      <c r="A1950" s="2" t="str">
        <f>HYPERLINK("https://www.compass.com/listing/320-west-115th-street-unit-ph-manhattan-ny-10026/4777764315644064721/","320 W 115th St, Unit PH")</f>
        <v>320 W 115th St, Unit PH</v>
      </c>
      <c r="B1950" s="2" t="str">
        <f t="shared" si="327"/>
        <v>320 W 115th St</v>
      </c>
      <c r="C1950" s="1" t="s">
        <v>131</v>
      </c>
      <c r="D1950" s="1" t="s">
        <v>41</v>
      </c>
      <c r="E1950" s="3">
        <v>2800188</v>
      </c>
      <c r="F1950" s="1">
        <v>1352.74758454106</v>
      </c>
      <c r="G1950" s="1">
        <v>6</v>
      </c>
      <c r="H1950" s="1">
        <v>4</v>
      </c>
      <c r="I1950" s="1">
        <v>3</v>
      </c>
      <c r="J1950" s="1">
        <v>3</v>
      </c>
      <c r="M1950" s="4">
        <v>2070</v>
      </c>
      <c r="N1950" s="1">
        <v>1460</v>
      </c>
      <c r="O1950" s="1">
        <v>2707</v>
      </c>
      <c r="P1950" s="1">
        <v>1247</v>
      </c>
      <c r="Q1950" s="1" t="s">
        <v>42</v>
      </c>
      <c r="S1950" s="1" t="s">
        <v>42</v>
      </c>
      <c r="T1950" s="1" t="s">
        <v>203</v>
      </c>
      <c r="V1950" s="5">
        <v>43641</v>
      </c>
      <c r="W1950" s="5">
        <v>42220</v>
      </c>
      <c r="X1950" s="1">
        <v>2765000</v>
      </c>
      <c r="Y1950" s="1">
        <v>2845000</v>
      </c>
      <c r="Z1950" s="5">
        <v>42220</v>
      </c>
      <c r="AA1950" s="1">
        <v>2800187.5</v>
      </c>
      <c r="AB1950" s="1" t="s">
        <v>1491</v>
      </c>
      <c r="AC1950" s="5">
        <v>43080</v>
      </c>
      <c r="AF1950" s="1">
        <v>10026</v>
      </c>
      <c r="AI1950" s="1" t="s">
        <v>1492</v>
      </c>
      <c r="AJ1950" s="1">
        <v>1900</v>
      </c>
      <c r="AL1950" s="1">
        <v>6</v>
      </c>
    </row>
    <row r="1951" spans="1:38" x14ac:dyDescent="0.2">
      <c r="A1951" s="2" t="str">
        <f>HYPERLINK("https://www.compass.com/listing/320-west-115th-street-unit-4-manhattan-ny-10026/4852288478488047041/","320 W 115th St, Unit 4")</f>
        <v>320 W 115th St, Unit 4</v>
      </c>
      <c r="B1951" s="2" t="str">
        <f t="shared" si="327"/>
        <v>320 W 115th St</v>
      </c>
      <c r="C1951" s="1" t="s">
        <v>131</v>
      </c>
      <c r="D1951" s="1" t="s">
        <v>41</v>
      </c>
      <c r="E1951" s="3">
        <v>2336400</v>
      </c>
      <c r="F1951" s="1">
        <v>1200</v>
      </c>
      <c r="G1951" s="1">
        <v>6</v>
      </c>
      <c r="H1951" s="1">
        <v>4</v>
      </c>
      <c r="I1951" s="1">
        <v>3</v>
      </c>
      <c r="J1951" s="1">
        <v>3</v>
      </c>
      <c r="M1951" s="4">
        <v>1947</v>
      </c>
      <c r="N1951" s="1">
        <v>1374</v>
      </c>
      <c r="O1951" s="1">
        <v>2547</v>
      </c>
      <c r="P1951" s="1">
        <v>1173</v>
      </c>
      <c r="Q1951" s="1" t="s">
        <v>42</v>
      </c>
      <c r="S1951" s="1" t="s">
        <v>42</v>
      </c>
      <c r="T1951" s="1" t="s">
        <v>203</v>
      </c>
      <c r="V1951" s="5">
        <v>43641</v>
      </c>
      <c r="W1951" s="5">
        <v>42220</v>
      </c>
      <c r="X1951" s="1">
        <v>2499000</v>
      </c>
      <c r="Y1951" s="1">
        <v>2625000</v>
      </c>
      <c r="Z1951" s="5">
        <v>42220</v>
      </c>
      <c r="AA1951" s="1">
        <v>2336400</v>
      </c>
      <c r="AB1951" s="1" t="s">
        <v>1493</v>
      </c>
      <c r="AC1951" s="5">
        <v>43084</v>
      </c>
      <c r="AF1951" s="1">
        <v>10026</v>
      </c>
      <c r="AI1951" s="1" t="s">
        <v>971</v>
      </c>
      <c r="AJ1951" s="1">
        <v>1900</v>
      </c>
      <c r="AL1951" s="1">
        <v>6</v>
      </c>
    </row>
    <row r="1952" spans="1:38" x14ac:dyDescent="0.2">
      <c r="A1952" s="2" t="str">
        <f>HYPERLINK("https://www.compass.com/listing/320-west-115th-street-unit-2-manhattan-ny-10026/4852288483496046865/","320 W 115th St, Unit 2")</f>
        <v>320 W 115th St, Unit 2</v>
      </c>
      <c r="B1952" s="2" t="str">
        <f t="shared" si="327"/>
        <v>320 W 115th St</v>
      </c>
      <c r="C1952" s="1" t="s">
        <v>131</v>
      </c>
      <c r="D1952" s="1" t="s">
        <v>41</v>
      </c>
      <c r="E1952" s="3">
        <v>2646126</v>
      </c>
      <c r="F1952" s="1">
        <v>1323.7250025012499</v>
      </c>
      <c r="G1952" s="1">
        <v>6</v>
      </c>
      <c r="H1952" s="1">
        <v>4</v>
      </c>
      <c r="I1952" s="1">
        <v>3</v>
      </c>
      <c r="J1952" s="1">
        <v>3</v>
      </c>
      <c r="M1952" s="4">
        <v>1999</v>
      </c>
      <c r="N1952" s="1">
        <v>1410</v>
      </c>
      <c r="O1952" s="1">
        <v>2614</v>
      </c>
      <c r="P1952" s="1">
        <v>1204</v>
      </c>
      <c r="Q1952" s="1" t="s">
        <v>42</v>
      </c>
      <c r="S1952" s="1" t="s">
        <v>42</v>
      </c>
      <c r="T1952" s="1" t="s">
        <v>203</v>
      </c>
      <c r="V1952" s="5">
        <v>43650</v>
      </c>
      <c r="W1952" s="5">
        <v>42220</v>
      </c>
      <c r="X1952" s="1">
        <v>2599000</v>
      </c>
      <c r="Y1952" s="1">
        <v>2699000</v>
      </c>
      <c r="Z1952" s="5">
        <v>42220</v>
      </c>
      <c r="AA1952" s="1">
        <v>2646126.2799999998</v>
      </c>
      <c r="AB1952" s="1" t="s">
        <v>1494</v>
      </c>
      <c r="AC1952" s="5">
        <v>43084</v>
      </c>
      <c r="AF1952" s="1">
        <v>10026</v>
      </c>
      <c r="AI1952" s="1" t="s">
        <v>971</v>
      </c>
      <c r="AJ1952" s="1">
        <v>1900</v>
      </c>
      <c r="AL1952" s="1">
        <v>6</v>
      </c>
    </row>
    <row r="1953" spans="1:38" x14ac:dyDescent="0.2">
      <c r="A1953" s="2" t="str">
        <f>HYPERLINK("https://www.compass.com/listing/301-west-53rd-street-unit-3h-manhattan-ny-10019/29388106163566033/","301 W 53rd St, Unit 3H")</f>
        <v>301 W 53rd St, Unit 3H</v>
      </c>
      <c r="B1953" s="2" t="str">
        <f t="shared" ref="B1953:B1955" si="328">HYPERLINK("https://www.compass.com/building/fifty-third-and-eighth-manhattan-ny/281944545158031557/","Fifty Third and Eighth")</f>
        <v>Fifty Third and Eighth</v>
      </c>
      <c r="C1953" s="1" t="s">
        <v>57</v>
      </c>
      <c r="D1953" s="1" t="s">
        <v>41</v>
      </c>
      <c r="E1953" s="3">
        <v>976362</v>
      </c>
      <c r="F1953" s="1">
        <v>1463.81109445277</v>
      </c>
      <c r="G1953" s="1">
        <v>3</v>
      </c>
      <c r="H1953" s="1">
        <v>1</v>
      </c>
      <c r="I1953" s="1">
        <v>1</v>
      </c>
      <c r="J1953" s="1">
        <v>1</v>
      </c>
      <c r="K1953" s="1">
        <v>1</v>
      </c>
      <c r="M1953" s="1">
        <v>667</v>
      </c>
      <c r="N1953" s="1">
        <v>548</v>
      </c>
      <c r="O1953" s="1">
        <v>1258</v>
      </c>
      <c r="P1953" s="1">
        <v>710</v>
      </c>
      <c r="Q1953" s="1" t="s">
        <v>42</v>
      </c>
      <c r="S1953" s="1" t="s">
        <v>42</v>
      </c>
      <c r="T1953" s="1" t="s">
        <v>203</v>
      </c>
      <c r="V1953" s="5">
        <v>44225</v>
      </c>
      <c r="W1953" s="5">
        <v>42294</v>
      </c>
      <c r="X1953" s="1">
        <v>972000</v>
      </c>
      <c r="Y1953" s="1">
        <v>972000</v>
      </c>
      <c r="Z1953" s="5">
        <v>42294</v>
      </c>
      <c r="AA1953" s="1">
        <v>976362</v>
      </c>
      <c r="AB1953" s="1" t="s">
        <v>1495</v>
      </c>
      <c r="AC1953" s="5">
        <v>42397</v>
      </c>
      <c r="AF1953" s="1">
        <v>10019</v>
      </c>
      <c r="AI1953" s="1" t="s">
        <v>76</v>
      </c>
      <c r="AJ1953" s="1">
        <v>2017</v>
      </c>
      <c r="AK1953" s="1" t="s">
        <v>50</v>
      </c>
      <c r="AL1953" s="1">
        <v>248</v>
      </c>
    </row>
    <row r="1954" spans="1:38" x14ac:dyDescent="0.2">
      <c r="A1954" s="2" t="str">
        <f>HYPERLINK("https://www.compass.com/listing/301-west-53rd-street-unit-9g-manhattan-ny-10019/29388131245568689/","301 W 53rd St, Unit 9G")</f>
        <v>301 W 53rd St, Unit 9G</v>
      </c>
      <c r="B1954" s="2" t="str">
        <f t="shared" si="328"/>
        <v>Fifty Third and Eighth</v>
      </c>
      <c r="C1954" s="1" t="s">
        <v>57</v>
      </c>
      <c r="D1954" s="1" t="s">
        <v>41</v>
      </c>
      <c r="E1954" s="3">
        <v>974983</v>
      </c>
      <c r="F1954" s="1">
        <v>1438.02802359882</v>
      </c>
      <c r="G1954" s="1">
        <v>3</v>
      </c>
      <c r="H1954" s="1">
        <v>1</v>
      </c>
      <c r="I1954" s="1">
        <v>1</v>
      </c>
      <c r="J1954" s="1">
        <v>1</v>
      </c>
      <c r="M1954" s="1">
        <v>678</v>
      </c>
      <c r="N1954" s="1">
        <v>574</v>
      </c>
      <c r="O1954" s="1">
        <v>1318</v>
      </c>
      <c r="P1954" s="1">
        <v>744</v>
      </c>
      <c r="Q1954" s="1" t="s">
        <v>42</v>
      </c>
      <c r="S1954" s="1" t="s">
        <v>42</v>
      </c>
      <c r="T1954" s="1" t="s">
        <v>203</v>
      </c>
      <c r="V1954" s="5">
        <v>43654</v>
      </c>
      <c r="W1954" s="5">
        <v>42333</v>
      </c>
      <c r="X1954" s="1">
        <v>978000</v>
      </c>
      <c r="Y1954" s="1">
        <v>978000</v>
      </c>
      <c r="Z1954" s="5">
        <v>42333</v>
      </c>
      <c r="AA1954" s="1">
        <v>974983</v>
      </c>
      <c r="AB1954" s="1" t="s">
        <v>1496</v>
      </c>
      <c r="AC1954" s="5">
        <v>42374</v>
      </c>
      <c r="AF1954" s="1">
        <v>10019</v>
      </c>
      <c r="AI1954" s="1" t="s">
        <v>76</v>
      </c>
      <c r="AJ1954" s="1">
        <v>2017</v>
      </c>
      <c r="AK1954" s="1" t="s">
        <v>50</v>
      </c>
      <c r="AL1954" s="1">
        <v>248</v>
      </c>
    </row>
    <row r="1955" spans="1:38" x14ac:dyDescent="0.2">
      <c r="A1955" s="2" t="str">
        <f>HYPERLINK("https://www.compass.com/listing/301-west-53rd-street-unit-4i-manhattan-ny-10019/556189697699935649/","301 W 53rd St, Unit 4I")</f>
        <v>301 W 53rd St, Unit 4I</v>
      </c>
      <c r="B1955" s="2" t="str">
        <f t="shared" si="328"/>
        <v>Fifty Third and Eighth</v>
      </c>
      <c r="C1955" s="1" t="s">
        <v>57</v>
      </c>
      <c r="D1955" s="1" t="s">
        <v>41</v>
      </c>
      <c r="E1955" s="3">
        <v>860000</v>
      </c>
      <c r="F1955" s="1">
        <v>1287.4251497005901</v>
      </c>
      <c r="G1955" s="1">
        <v>4</v>
      </c>
      <c r="H1955" s="1">
        <v>1</v>
      </c>
      <c r="I1955" s="1">
        <v>1</v>
      </c>
      <c r="J1955" s="1">
        <v>1</v>
      </c>
      <c r="K1955" s="1">
        <v>1</v>
      </c>
      <c r="M1955" s="1">
        <v>668</v>
      </c>
      <c r="N1955" s="1">
        <v>614</v>
      </c>
      <c r="O1955" s="1">
        <v>1662</v>
      </c>
      <c r="P1955" s="1">
        <v>1048</v>
      </c>
      <c r="Q1955" s="1" t="s">
        <v>42</v>
      </c>
      <c r="S1955" s="1" t="s">
        <v>42</v>
      </c>
      <c r="T1955" s="1" t="s">
        <v>203</v>
      </c>
      <c r="U1955" s="1">
        <v>175</v>
      </c>
      <c r="V1955" s="5">
        <v>44371</v>
      </c>
      <c r="W1955" s="5">
        <v>44018</v>
      </c>
      <c r="X1955" s="1">
        <v>995000</v>
      </c>
      <c r="Y1955" s="1">
        <v>889000</v>
      </c>
      <c r="AA1955" s="1">
        <v>860000</v>
      </c>
      <c r="AB1955" s="1" t="s">
        <v>1497</v>
      </c>
      <c r="AC1955" s="5">
        <v>44344</v>
      </c>
      <c r="AF1955" s="1">
        <v>10019</v>
      </c>
      <c r="AI1955" s="1" t="s">
        <v>154</v>
      </c>
      <c r="AJ1955" s="1">
        <v>2017</v>
      </c>
      <c r="AK1955" s="1" t="s">
        <v>81</v>
      </c>
      <c r="AL1955" s="1">
        <v>248</v>
      </c>
    </row>
    <row r="1956" spans="1:38" x14ac:dyDescent="0.2">
      <c r="A1956" s="2" t="str">
        <f>HYPERLINK("https://www.compass.com/listing/591-3rd-avenue-unit-7e-manhattan-ny-10016/101847046171921873/","591 3rd Ave, Unit 7E")</f>
        <v>591 3rd Ave, Unit 7E</v>
      </c>
      <c r="B1956" s="2" t="str">
        <f t="shared" ref="B1956:B1959" si="329">HYPERLINK("https://www.compass.com/building/the-lindley-manhattan-ny/282058799928343829/","The Lindley")</f>
        <v>The Lindley</v>
      </c>
      <c r="C1956" s="1" t="s">
        <v>165</v>
      </c>
      <c r="D1956" s="1" t="s">
        <v>41</v>
      </c>
      <c r="E1956" s="3">
        <v>965486</v>
      </c>
      <c r="F1956" s="1">
        <v>1639.19439728353</v>
      </c>
      <c r="H1956" s="1" t="s">
        <v>77</v>
      </c>
      <c r="J1956" s="1">
        <v>1</v>
      </c>
      <c r="K1956" s="1">
        <v>1</v>
      </c>
      <c r="M1956" s="1">
        <v>589</v>
      </c>
      <c r="N1956" s="1">
        <v>881</v>
      </c>
      <c r="O1956" s="1">
        <v>1027</v>
      </c>
      <c r="P1956" s="1">
        <v>146</v>
      </c>
      <c r="Q1956" s="1" t="s">
        <v>42</v>
      </c>
      <c r="S1956" s="1" t="s">
        <v>42</v>
      </c>
      <c r="T1956" s="1" t="s">
        <v>203</v>
      </c>
      <c r="AA1956" s="1">
        <v>965485.5</v>
      </c>
      <c r="AB1956" s="1" t="s">
        <v>1498</v>
      </c>
      <c r="AC1956" s="5">
        <v>43383</v>
      </c>
      <c r="AF1956" s="1">
        <v>10016</v>
      </c>
      <c r="AI1956" s="1" t="s">
        <v>166</v>
      </c>
      <c r="AJ1956" s="1">
        <v>2018</v>
      </c>
      <c r="AK1956" s="1" t="s">
        <v>55</v>
      </c>
      <c r="AL1956" s="1">
        <v>74</v>
      </c>
    </row>
    <row r="1957" spans="1:38" x14ac:dyDescent="0.2">
      <c r="A1957" s="2" t="str">
        <f>HYPERLINK("https://www.compass.com/listing/591-3rd-avenue-unit-9e-manhattan-ny-10016/803331553912128833/","591 3rd Ave, Unit 9E")</f>
        <v>591 3rd Ave, Unit 9E</v>
      </c>
      <c r="B1957" s="2" t="str">
        <f t="shared" si="329"/>
        <v>The Lindley</v>
      </c>
      <c r="C1957" s="1" t="s">
        <v>165</v>
      </c>
      <c r="D1957" s="1" t="s">
        <v>41</v>
      </c>
      <c r="E1957" s="3">
        <v>972429</v>
      </c>
      <c r="F1957" s="1">
        <v>1648.1843220338901</v>
      </c>
      <c r="G1957" s="1">
        <v>2</v>
      </c>
      <c r="H1957" s="1" t="s">
        <v>77</v>
      </c>
      <c r="I1957" s="1">
        <v>1</v>
      </c>
      <c r="J1957" s="1">
        <v>1</v>
      </c>
      <c r="M1957" s="1">
        <v>590</v>
      </c>
      <c r="N1957" s="1">
        <v>832</v>
      </c>
      <c r="O1957" s="1">
        <v>1145</v>
      </c>
      <c r="P1957" s="1">
        <v>313</v>
      </c>
      <c r="Q1957" s="1" t="s">
        <v>42</v>
      </c>
      <c r="S1957" s="1" t="s">
        <v>42</v>
      </c>
      <c r="T1957" s="1" t="s">
        <v>203</v>
      </c>
      <c r="U1957" s="1">
        <v>29</v>
      </c>
      <c r="V1957" s="5">
        <v>43272</v>
      </c>
      <c r="W1957" s="5">
        <v>42979</v>
      </c>
      <c r="X1957" s="1">
        <v>955000</v>
      </c>
      <c r="Y1957" s="1">
        <v>955000</v>
      </c>
      <c r="Z1957" s="5">
        <v>43008</v>
      </c>
      <c r="AA1957" s="1">
        <v>972428.75</v>
      </c>
      <c r="AB1957" s="1" t="s">
        <v>1471</v>
      </c>
      <c r="AC1957" s="5">
        <v>43377</v>
      </c>
      <c r="AF1957" s="1">
        <v>10016</v>
      </c>
      <c r="AI1957" s="1" t="s">
        <v>1464</v>
      </c>
      <c r="AJ1957" s="1">
        <v>2018</v>
      </c>
      <c r="AK1957" s="1" t="s">
        <v>55</v>
      </c>
      <c r="AL1957" s="1">
        <v>74</v>
      </c>
    </row>
    <row r="1958" spans="1:38" x14ac:dyDescent="0.2">
      <c r="A1958" s="2" t="str">
        <f>HYPERLINK("https://www.compass.com/listing/591-3rd-avenue-unit-12d-manhattan-ny-10016/803336365626168233/","591 3rd Ave, Unit 12D")</f>
        <v>591 3rd Ave, Unit 12D</v>
      </c>
      <c r="B1958" s="2" t="str">
        <f t="shared" si="329"/>
        <v>The Lindley</v>
      </c>
      <c r="C1958" s="1" t="s">
        <v>165</v>
      </c>
      <c r="D1958" s="1" t="s">
        <v>41</v>
      </c>
      <c r="E1958" s="3">
        <v>990703</v>
      </c>
      <c r="F1958" s="1">
        <v>1679.15677966101</v>
      </c>
      <c r="G1958" s="1">
        <v>1</v>
      </c>
      <c r="H1958" s="1" t="s">
        <v>77</v>
      </c>
      <c r="I1958" s="1">
        <v>1</v>
      </c>
      <c r="J1958" s="1">
        <v>1</v>
      </c>
      <c r="M1958" s="1">
        <v>590</v>
      </c>
      <c r="N1958" s="1">
        <v>844</v>
      </c>
      <c r="O1958" s="1">
        <v>1161</v>
      </c>
      <c r="P1958" s="1">
        <v>317</v>
      </c>
      <c r="Q1958" s="1" t="s">
        <v>42</v>
      </c>
      <c r="S1958" s="1" t="s">
        <v>42</v>
      </c>
      <c r="T1958" s="1" t="s">
        <v>203</v>
      </c>
      <c r="U1958" s="1">
        <v>349</v>
      </c>
      <c r="V1958" s="5">
        <v>43272</v>
      </c>
      <c r="W1958" s="5">
        <v>42922</v>
      </c>
      <c r="X1958" s="1">
        <v>970000</v>
      </c>
      <c r="Y1958" s="1">
        <v>970000</v>
      </c>
      <c r="AA1958" s="1">
        <v>990702.5</v>
      </c>
      <c r="AB1958" s="1" t="s">
        <v>1472</v>
      </c>
      <c r="AC1958" s="5">
        <v>43328</v>
      </c>
      <c r="AF1958" s="1">
        <v>10016</v>
      </c>
      <c r="AI1958" s="1" t="s">
        <v>1464</v>
      </c>
      <c r="AJ1958" s="1">
        <v>2018</v>
      </c>
      <c r="AK1958" s="1" t="s">
        <v>55</v>
      </c>
      <c r="AL1958" s="1">
        <v>74</v>
      </c>
    </row>
    <row r="1959" spans="1:38" x14ac:dyDescent="0.2">
      <c r="A1959" s="2" t="str">
        <f>HYPERLINK("https://www.compass.com/listing/591-3rd-avenue-unit-5e-manhattan-ny-10016/29509773074375505/","591 3rd Ave, Unit 5E")</f>
        <v>591 3rd Ave, Unit 5E</v>
      </c>
      <c r="B1959" s="2" t="str">
        <f t="shared" si="329"/>
        <v>The Lindley</v>
      </c>
      <c r="C1959" s="1" t="s">
        <v>165</v>
      </c>
      <c r="D1959" s="1" t="s">
        <v>41</v>
      </c>
      <c r="E1959" s="3">
        <v>896060</v>
      </c>
      <c r="F1959" s="1">
        <v>1518.7457627118599</v>
      </c>
      <c r="G1959" s="1">
        <v>1</v>
      </c>
      <c r="H1959" s="1" t="s">
        <v>77</v>
      </c>
      <c r="I1959" s="1">
        <v>1</v>
      </c>
      <c r="J1959" s="1">
        <v>1</v>
      </c>
      <c r="K1959" s="1">
        <v>1</v>
      </c>
      <c r="M1959" s="1">
        <v>590</v>
      </c>
      <c r="N1959" s="1">
        <v>815.26</v>
      </c>
      <c r="O1959" s="1">
        <v>1121.83</v>
      </c>
      <c r="P1959" s="1">
        <v>306.58333333333297</v>
      </c>
      <c r="Q1959" s="1" t="s">
        <v>335</v>
      </c>
      <c r="R1959" s="1" t="s">
        <v>1499</v>
      </c>
      <c r="S1959" s="1" t="s">
        <v>940</v>
      </c>
      <c r="T1959" s="1" t="s">
        <v>203</v>
      </c>
      <c r="U1959" s="1">
        <v>490</v>
      </c>
      <c r="V1959" s="5">
        <v>43644</v>
      </c>
      <c r="W1959" s="5">
        <v>42923</v>
      </c>
      <c r="X1959" s="1">
        <v>935000</v>
      </c>
      <c r="Y1959" s="1">
        <v>935000</v>
      </c>
      <c r="Z1959" s="5">
        <v>43413</v>
      </c>
      <c r="AA1959" s="1">
        <v>896060</v>
      </c>
      <c r="AB1959" s="1" t="s">
        <v>1500</v>
      </c>
      <c r="AC1959" s="5">
        <v>43500</v>
      </c>
      <c r="AF1959" s="1">
        <v>10016</v>
      </c>
      <c r="AG1959" s="1" t="s">
        <v>1501</v>
      </c>
      <c r="AI1959" s="1" t="s">
        <v>1464</v>
      </c>
      <c r="AJ1959" s="1">
        <v>2018</v>
      </c>
      <c r="AK1959" s="1" t="s">
        <v>87</v>
      </c>
      <c r="AL1959" s="1">
        <v>74</v>
      </c>
    </row>
    <row r="1960" spans="1:38" x14ac:dyDescent="0.2">
      <c r="A1960" s="2" t="str">
        <f>HYPERLINK("https://www.compass.com/listing/320-west-115th-street-unit-1-manhattan-ny-10026/29430089326393553/","320 W 115th St, Unit 1")</f>
        <v>320 W 115th St, Unit 1</v>
      </c>
      <c r="B1960" s="2" t="str">
        <f t="shared" ref="B1960:B1961" si="330">HYPERLINK("https://www.compass.com/building/320-w-115th-st-manhattan-ny-10026/281976507021227397/","320 W 115th St")</f>
        <v>320 W 115th St</v>
      </c>
      <c r="C1960" s="1" t="s">
        <v>131</v>
      </c>
      <c r="D1960" s="1" t="s">
        <v>41</v>
      </c>
      <c r="E1960" s="3">
        <v>2600000</v>
      </c>
      <c r="F1960" s="1">
        <v>1327.8855975485101</v>
      </c>
      <c r="G1960" s="1">
        <v>6</v>
      </c>
      <c r="H1960" s="1">
        <v>4</v>
      </c>
      <c r="I1960" s="1">
        <v>3</v>
      </c>
      <c r="J1960" s="1">
        <v>3</v>
      </c>
      <c r="M1960" s="4">
        <v>1958</v>
      </c>
      <c r="N1960" s="1">
        <v>1381</v>
      </c>
      <c r="O1960" s="1">
        <v>2560</v>
      </c>
      <c r="P1960" s="1">
        <v>1179</v>
      </c>
      <c r="Q1960" s="1" t="s">
        <v>42</v>
      </c>
      <c r="S1960" s="1" t="s">
        <v>42</v>
      </c>
      <c r="T1960" s="1" t="s">
        <v>203</v>
      </c>
      <c r="U1960" s="1">
        <v>150</v>
      </c>
      <c r="V1960" s="5">
        <v>43641</v>
      </c>
      <c r="W1960" s="5">
        <v>42878</v>
      </c>
      <c r="X1960" s="1">
        <v>2690000</v>
      </c>
      <c r="Y1960" s="1">
        <v>2690000</v>
      </c>
      <c r="Z1960" s="5">
        <v>43028</v>
      </c>
      <c r="AA1960" s="1">
        <v>2600000</v>
      </c>
      <c r="AB1960" s="1" t="s">
        <v>1502</v>
      </c>
      <c r="AC1960" s="5">
        <v>43089</v>
      </c>
      <c r="AF1960" s="1">
        <v>10026</v>
      </c>
      <c r="AI1960" s="1" t="s">
        <v>971</v>
      </c>
      <c r="AJ1960" s="1">
        <v>1900</v>
      </c>
      <c r="AK1960" s="1" t="s">
        <v>91</v>
      </c>
      <c r="AL1960" s="1">
        <v>6</v>
      </c>
    </row>
    <row r="1961" spans="1:38" x14ac:dyDescent="0.2">
      <c r="A1961" s="2" t="str">
        <f>HYPERLINK("https://www.compass.com/listing/320-west-115th-street-unit-garden-manhattan-ny-10026/6502129288111761/","320 W 115th St, Unit GARDEN")</f>
        <v>320 W 115th St, Unit GARDEN</v>
      </c>
      <c r="B1961" s="2" t="str">
        <f t="shared" si="330"/>
        <v>320 W 115th St</v>
      </c>
      <c r="C1961" s="1" t="s">
        <v>131</v>
      </c>
      <c r="D1961" s="1" t="s">
        <v>41</v>
      </c>
      <c r="E1961" s="3">
        <v>2421900</v>
      </c>
      <c r="F1961" s="1">
        <v>1271.33858267716</v>
      </c>
      <c r="G1961" s="1">
        <v>6</v>
      </c>
      <c r="H1961" s="1">
        <v>3</v>
      </c>
      <c r="I1961" s="1">
        <v>3</v>
      </c>
      <c r="J1961" s="1">
        <v>2.5</v>
      </c>
      <c r="M1961" s="4">
        <v>1905</v>
      </c>
      <c r="N1961" s="1">
        <v>1343</v>
      </c>
      <c r="O1961" s="1">
        <v>2489</v>
      </c>
      <c r="P1961" s="1">
        <v>1146</v>
      </c>
      <c r="Q1961" s="1" t="s">
        <v>42</v>
      </c>
      <c r="S1961" s="1" t="s">
        <v>42</v>
      </c>
      <c r="T1961" s="1" t="s">
        <v>203</v>
      </c>
      <c r="U1961" s="1">
        <v>123</v>
      </c>
      <c r="V1961" s="5">
        <v>43642</v>
      </c>
      <c r="W1961" s="5">
        <v>43035</v>
      </c>
      <c r="X1961" s="1">
        <v>2499000</v>
      </c>
      <c r="Y1961" s="1">
        <v>2499000</v>
      </c>
      <c r="Z1961" s="5">
        <v>43158</v>
      </c>
      <c r="AA1961" s="1">
        <v>2421900</v>
      </c>
      <c r="AB1961" s="1" t="s">
        <v>1503</v>
      </c>
      <c r="AC1961" s="5">
        <v>43201</v>
      </c>
      <c r="AF1961" s="1">
        <v>10026</v>
      </c>
      <c r="AI1961" s="1" t="s">
        <v>971</v>
      </c>
      <c r="AJ1961" s="1">
        <v>1900</v>
      </c>
      <c r="AL1961" s="1">
        <v>6</v>
      </c>
    </row>
    <row r="1962" spans="1:38" x14ac:dyDescent="0.2">
      <c r="A1962" s="2" t="str">
        <f>HYPERLINK("https://www.compass.com/listing/215-west-122nd-street-unit-5-manhattan-ny-10027/201384583730571233/","215 W 122nd St, Unit 5")</f>
        <v>215 W 122nd St, Unit 5</v>
      </c>
      <c r="B1962" s="2" t="str">
        <f>HYPERLINK("https://www.compass.com/building/215-w-122nd-st-manhattan-ny-10027/281980069470110005/","215 W 122nd St")</f>
        <v>215 W 122nd St</v>
      </c>
      <c r="C1962" s="1" t="s">
        <v>131</v>
      </c>
      <c r="D1962" s="1" t="s">
        <v>41</v>
      </c>
      <c r="E1962" s="3">
        <v>1395000</v>
      </c>
      <c r="F1962" s="1">
        <v>1217.2774869109901</v>
      </c>
      <c r="G1962" s="1">
        <v>4</v>
      </c>
      <c r="H1962" s="1">
        <v>2</v>
      </c>
      <c r="I1962" s="1">
        <v>2</v>
      </c>
      <c r="J1962" s="1">
        <v>2</v>
      </c>
      <c r="K1962" s="1">
        <v>2</v>
      </c>
      <c r="M1962" s="4">
        <v>1146</v>
      </c>
      <c r="N1962" s="1">
        <v>709</v>
      </c>
      <c r="O1962" s="1">
        <v>1389</v>
      </c>
      <c r="P1962" s="1">
        <v>680</v>
      </c>
      <c r="Q1962" s="1" t="s">
        <v>42</v>
      </c>
      <c r="S1962" s="1" t="s">
        <v>42</v>
      </c>
      <c r="T1962" s="1" t="s">
        <v>203</v>
      </c>
      <c r="V1962" s="5">
        <v>43733</v>
      </c>
      <c r="W1962" s="5">
        <v>43543</v>
      </c>
      <c r="X1962" s="1">
        <v>1595000</v>
      </c>
      <c r="Y1962" s="1">
        <v>1595000</v>
      </c>
      <c r="Z1962" s="5">
        <v>43543</v>
      </c>
      <c r="AA1962" s="1">
        <v>1395000</v>
      </c>
      <c r="AB1962" s="1" t="s">
        <v>1504</v>
      </c>
      <c r="AC1962" s="5">
        <v>43616</v>
      </c>
      <c r="AF1962" s="1">
        <v>10027</v>
      </c>
      <c r="AI1962" s="1" t="s">
        <v>1270</v>
      </c>
      <c r="AJ1962" s="1">
        <v>2018</v>
      </c>
      <c r="AL1962" s="1">
        <v>6</v>
      </c>
    </row>
    <row r="1963" spans="1:38" x14ac:dyDescent="0.2">
      <c r="A1963" s="2" t="str">
        <f>HYPERLINK("https://www.compass.com/listing/301-west-53rd-street-unit-6j-manhattan-ny-10019/29388118989812193/","301 W 53rd St, Unit 6J")</f>
        <v>301 W 53rd St, Unit 6J</v>
      </c>
      <c r="B1963" s="2" t="str">
        <f t="shared" ref="B1963:B1974" si="331">HYPERLINK("https://www.compass.com/building/fifty-third-and-eighth-manhattan-ny/281944545158031557/","Fifty Third and Eighth")</f>
        <v>Fifty Third and Eighth</v>
      </c>
      <c r="C1963" s="1" t="s">
        <v>57</v>
      </c>
      <c r="D1963" s="1" t="s">
        <v>41</v>
      </c>
      <c r="E1963" s="3">
        <v>975000</v>
      </c>
      <c r="F1963" s="1">
        <v>1438.05309734513</v>
      </c>
      <c r="G1963" s="1">
        <v>3</v>
      </c>
      <c r="H1963" s="1">
        <v>1</v>
      </c>
      <c r="I1963" s="1">
        <v>1</v>
      </c>
      <c r="J1963" s="1">
        <v>1</v>
      </c>
      <c r="M1963" s="1">
        <v>678</v>
      </c>
      <c r="N1963" s="1">
        <v>565</v>
      </c>
      <c r="O1963" s="1">
        <v>1298</v>
      </c>
      <c r="P1963" s="1">
        <v>733</v>
      </c>
      <c r="Q1963" s="1" t="s">
        <v>42</v>
      </c>
      <c r="S1963" s="1" t="s">
        <v>42</v>
      </c>
      <c r="T1963" s="1" t="s">
        <v>203</v>
      </c>
      <c r="U1963" s="1">
        <v>1</v>
      </c>
      <c r="V1963" s="5">
        <v>43651</v>
      </c>
      <c r="W1963" s="5">
        <v>42277</v>
      </c>
      <c r="X1963" s="1">
        <v>975000</v>
      </c>
      <c r="Y1963" s="1">
        <v>975000</v>
      </c>
      <c r="Z1963" s="5">
        <v>42278</v>
      </c>
      <c r="AA1963" s="1">
        <v>975000</v>
      </c>
      <c r="AB1963" s="1" t="s">
        <v>204</v>
      </c>
      <c r="AC1963" s="5">
        <v>42313</v>
      </c>
      <c r="AF1963" s="1">
        <v>10019</v>
      </c>
      <c r="AI1963" s="1" t="s">
        <v>76</v>
      </c>
      <c r="AJ1963" s="1">
        <v>2017</v>
      </c>
      <c r="AK1963" s="1" t="s">
        <v>50</v>
      </c>
      <c r="AL1963" s="1">
        <v>248</v>
      </c>
    </row>
    <row r="1964" spans="1:38" x14ac:dyDescent="0.2">
      <c r="A1964" s="2" t="str">
        <f>HYPERLINK("https://www.compass.com/listing/301-west-53rd-street-unit-5h-manhattan-ny-10019/29388114090865041/","301 W 53rd St, Unit 5H")</f>
        <v>301 W 53rd St, Unit 5H</v>
      </c>
      <c r="B1964" s="2" t="str">
        <f t="shared" si="331"/>
        <v>Fifty Third and Eighth</v>
      </c>
      <c r="C1964" s="1" t="s">
        <v>57</v>
      </c>
      <c r="D1964" s="1" t="s">
        <v>41</v>
      </c>
      <c r="E1964" s="3">
        <v>987293</v>
      </c>
      <c r="F1964" s="1">
        <v>1480.1994002998499</v>
      </c>
      <c r="G1964" s="1">
        <v>3</v>
      </c>
      <c r="H1964" s="1">
        <v>1</v>
      </c>
      <c r="I1964" s="1">
        <v>1</v>
      </c>
      <c r="J1964" s="1">
        <v>1</v>
      </c>
      <c r="M1964" s="1">
        <v>667</v>
      </c>
      <c r="N1964" s="1">
        <v>553</v>
      </c>
      <c r="O1964" s="1">
        <v>1270</v>
      </c>
      <c r="P1964" s="1">
        <v>717</v>
      </c>
      <c r="Q1964" s="1" t="s">
        <v>42</v>
      </c>
      <c r="S1964" s="1" t="s">
        <v>42</v>
      </c>
      <c r="T1964" s="1" t="s">
        <v>203</v>
      </c>
      <c r="V1964" s="5">
        <v>43650</v>
      </c>
      <c r="W1964" s="5">
        <v>42307</v>
      </c>
      <c r="X1964" s="1">
        <v>974000</v>
      </c>
      <c r="Y1964" s="1">
        <v>974000</v>
      </c>
      <c r="Z1964" s="5">
        <v>42307</v>
      </c>
      <c r="AA1964" s="1">
        <v>987293</v>
      </c>
      <c r="AB1964" s="1" t="s">
        <v>1505</v>
      </c>
      <c r="AC1964" s="5">
        <v>42368</v>
      </c>
      <c r="AF1964" s="1">
        <v>10019</v>
      </c>
      <c r="AI1964" s="1" t="s">
        <v>76</v>
      </c>
      <c r="AJ1964" s="1">
        <v>2017</v>
      </c>
      <c r="AK1964" s="1" t="s">
        <v>50</v>
      </c>
      <c r="AL1964" s="1">
        <v>248</v>
      </c>
    </row>
    <row r="1965" spans="1:38" x14ac:dyDescent="0.2">
      <c r="A1965" s="2" t="str">
        <f>HYPERLINK("https://www.compass.com/listing/301-west-53rd-street-unit-3i-manhattan-ny-10019/29388106541109409/","301 W 53rd St, Unit 3I")</f>
        <v>301 W 53rd St, Unit 3I</v>
      </c>
      <c r="B1965" s="2" t="str">
        <f t="shared" si="331"/>
        <v>Fifty Third and Eighth</v>
      </c>
      <c r="C1965" s="1" t="s">
        <v>57</v>
      </c>
      <c r="D1965" s="1" t="s">
        <v>41</v>
      </c>
      <c r="E1965" s="3">
        <v>994101</v>
      </c>
      <c r="F1965" s="1">
        <v>1490.40629685157</v>
      </c>
      <c r="G1965" s="1">
        <v>3</v>
      </c>
      <c r="H1965" s="1">
        <v>1</v>
      </c>
      <c r="I1965" s="1">
        <v>1</v>
      </c>
      <c r="J1965" s="1">
        <v>1</v>
      </c>
      <c r="M1965" s="1">
        <v>667</v>
      </c>
      <c r="N1965" s="1">
        <v>548</v>
      </c>
      <c r="O1965" s="1">
        <v>1258</v>
      </c>
      <c r="P1965" s="1">
        <v>710</v>
      </c>
      <c r="Q1965" s="1" t="s">
        <v>42</v>
      </c>
      <c r="S1965" s="1" t="s">
        <v>42</v>
      </c>
      <c r="T1965" s="1" t="s">
        <v>203</v>
      </c>
      <c r="U1965" s="1">
        <v>111</v>
      </c>
      <c r="V1965" s="5">
        <v>43668</v>
      </c>
      <c r="W1965" s="5">
        <v>42237</v>
      </c>
      <c r="X1965" s="1">
        <v>972000</v>
      </c>
      <c r="Y1965" s="1">
        <v>972000</v>
      </c>
      <c r="Z1965" s="5">
        <v>42348</v>
      </c>
      <c r="AA1965" s="1">
        <v>994101</v>
      </c>
      <c r="AB1965" s="1" t="s">
        <v>1506</v>
      </c>
      <c r="AC1965" s="5">
        <v>42445</v>
      </c>
      <c r="AF1965" s="1">
        <v>10019</v>
      </c>
      <c r="AI1965" s="1" t="s">
        <v>76</v>
      </c>
      <c r="AJ1965" s="1">
        <v>2017</v>
      </c>
      <c r="AK1965" s="1" t="s">
        <v>50</v>
      </c>
      <c r="AL1965" s="1">
        <v>248</v>
      </c>
    </row>
    <row r="1966" spans="1:38" x14ac:dyDescent="0.2">
      <c r="A1966" s="2" t="str">
        <f>HYPERLINK("https://www.compass.com/listing/301-west-53rd-street-unit-4h-manhattan-ny-10019/29388109384855857/","301 W 53rd St, Unit 4H")</f>
        <v>301 W 53rd St, Unit 4H</v>
      </c>
      <c r="B1966" s="2" t="str">
        <f t="shared" si="331"/>
        <v>Fifty Third and Eighth</v>
      </c>
      <c r="C1966" s="1" t="s">
        <v>57</v>
      </c>
      <c r="D1966" s="1" t="s">
        <v>41</v>
      </c>
      <c r="E1966" s="3">
        <v>977383</v>
      </c>
      <c r="F1966" s="1">
        <v>1465.3418290854499</v>
      </c>
      <c r="G1966" s="1">
        <v>3</v>
      </c>
      <c r="H1966" s="1">
        <v>1</v>
      </c>
      <c r="I1966" s="1">
        <v>1</v>
      </c>
      <c r="J1966" s="1">
        <v>1</v>
      </c>
      <c r="K1966" s="1">
        <v>1</v>
      </c>
      <c r="M1966" s="1">
        <v>667</v>
      </c>
      <c r="N1966" s="1">
        <v>532</v>
      </c>
      <c r="O1966" s="1">
        <v>1298</v>
      </c>
      <c r="P1966" s="1">
        <v>766</v>
      </c>
      <c r="Q1966" s="1" t="s">
        <v>42</v>
      </c>
      <c r="S1966" s="1" t="s">
        <v>42</v>
      </c>
      <c r="T1966" s="1" t="s">
        <v>203</v>
      </c>
      <c r="U1966" s="1">
        <v>200</v>
      </c>
      <c r="V1966" s="5">
        <v>44338</v>
      </c>
      <c r="W1966" s="5">
        <v>42111</v>
      </c>
      <c r="X1966" s="1">
        <v>973000</v>
      </c>
      <c r="Y1966" s="1">
        <v>973000</v>
      </c>
      <c r="Z1966" s="5">
        <v>42311</v>
      </c>
      <c r="AA1966" s="1">
        <v>977383</v>
      </c>
      <c r="AB1966" s="1" t="s">
        <v>1507</v>
      </c>
      <c r="AC1966" s="5">
        <v>42460</v>
      </c>
      <c r="AF1966" s="1">
        <v>10019</v>
      </c>
      <c r="AI1966" s="1" t="s">
        <v>76</v>
      </c>
      <c r="AJ1966" s="1">
        <v>2017</v>
      </c>
      <c r="AK1966" s="1" t="s">
        <v>50</v>
      </c>
      <c r="AL1966" s="1">
        <v>248</v>
      </c>
    </row>
    <row r="1967" spans="1:38" x14ac:dyDescent="0.2">
      <c r="A1967" s="2" t="str">
        <f>HYPERLINK("https://www.compass.com/listing/301-west-53rd-street-unit-4g-manhattan-ny-10019/29507301018789265/","301 W 53rd St, Unit 4G")</f>
        <v>301 W 53rd St, Unit 4G</v>
      </c>
      <c r="B1967" s="2" t="str">
        <f t="shared" si="331"/>
        <v>Fifty Third and Eighth</v>
      </c>
      <c r="C1967" s="1" t="s">
        <v>57</v>
      </c>
      <c r="D1967" s="1" t="s">
        <v>41</v>
      </c>
      <c r="E1967" s="3">
        <v>986334</v>
      </c>
      <c r="F1967" s="1">
        <v>1454.76991150442</v>
      </c>
      <c r="G1967" s="1">
        <v>3</v>
      </c>
      <c r="H1967" s="1">
        <v>1</v>
      </c>
      <c r="I1967" s="1">
        <v>1</v>
      </c>
      <c r="J1967" s="1">
        <v>1</v>
      </c>
      <c r="M1967" s="1">
        <v>678</v>
      </c>
      <c r="N1967" s="1">
        <v>560</v>
      </c>
      <c r="O1967" s="1">
        <v>1286</v>
      </c>
      <c r="P1967" s="1">
        <v>726</v>
      </c>
      <c r="Q1967" s="1" t="s">
        <v>42</v>
      </c>
      <c r="S1967" s="1" t="s">
        <v>42</v>
      </c>
      <c r="T1967" s="1" t="s">
        <v>203</v>
      </c>
      <c r="V1967" s="5">
        <v>43654</v>
      </c>
      <c r="W1967" s="5">
        <v>42404</v>
      </c>
      <c r="X1967" s="1">
        <v>973000</v>
      </c>
      <c r="Y1967" s="1">
        <v>973000</v>
      </c>
      <c r="Z1967" s="5">
        <v>42404</v>
      </c>
      <c r="AA1967" s="1">
        <v>986334</v>
      </c>
      <c r="AB1967" s="1" t="s">
        <v>1508</v>
      </c>
      <c r="AC1967" s="5">
        <v>42434</v>
      </c>
      <c r="AF1967" s="1">
        <v>10019</v>
      </c>
      <c r="AI1967" s="1" t="s">
        <v>76</v>
      </c>
      <c r="AJ1967" s="1">
        <v>2017</v>
      </c>
      <c r="AK1967" s="1" t="s">
        <v>50</v>
      </c>
      <c r="AL1967" s="1">
        <v>248</v>
      </c>
    </row>
    <row r="1968" spans="1:38" x14ac:dyDescent="0.2">
      <c r="A1968" s="2" t="str">
        <f>HYPERLINK("https://www.compass.com/listing/301-west-53rd-street-unit-6g-manhattan-ny-10019/667525890195277145/","301 W 53rd St, Unit 6G")</f>
        <v>301 W 53rd St, Unit 6G</v>
      </c>
      <c r="B1968" s="2" t="str">
        <f t="shared" si="331"/>
        <v>Fifty Third and Eighth</v>
      </c>
      <c r="C1968" s="1" t="s">
        <v>57</v>
      </c>
      <c r="D1968" s="1" t="s">
        <v>41</v>
      </c>
      <c r="E1968" s="3">
        <v>905000</v>
      </c>
      <c r="F1968" s="1">
        <v>1334.8082595870201</v>
      </c>
      <c r="G1968" s="1">
        <v>4</v>
      </c>
      <c r="H1968" s="1">
        <v>1</v>
      </c>
      <c r="I1968" s="1">
        <v>1</v>
      </c>
      <c r="J1968" s="1">
        <v>1</v>
      </c>
      <c r="K1968" s="1">
        <v>1</v>
      </c>
      <c r="M1968" s="1">
        <v>678</v>
      </c>
      <c r="N1968" s="1">
        <v>630</v>
      </c>
      <c r="O1968" s="1">
        <v>1706</v>
      </c>
      <c r="P1968" s="1">
        <v>1076</v>
      </c>
      <c r="Q1968" s="1" t="s">
        <v>42</v>
      </c>
      <c r="S1968" s="1" t="s">
        <v>42</v>
      </c>
      <c r="T1968" s="1" t="s">
        <v>203</v>
      </c>
      <c r="V1968" s="5">
        <v>44281</v>
      </c>
      <c r="W1968" s="5">
        <v>44172</v>
      </c>
      <c r="X1968" s="1">
        <v>950000</v>
      </c>
      <c r="Y1968" s="1">
        <v>950000</v>
      </c>
      <c r="Z1968" s="5">
        <v>44172</v>
      </c>
      <c r="AA1968" s="1">
        <v>905000</v>
      </c>
      <c r="AB1968" s="1" t="s">
        <v>1509</v>
      </c>
      <c r="AC1968" s="5">
        <v>44267</v>
      </c>
      <c r="AF1968" s="1">
        <v>10019</v>
      </c>
      <c r="AI1968" s="1" t="s">
        <v>154</v>
      </c>
      <c r="AJ1968" s="1">
        <v>2017</v>
      </c>
      <c r="AK1968" s="1" t="s">
        <v>81</v>
      </c>
      <c r="AL1968" s="1">
        <v>248</v>
      </c>
    </row>
    <row r="1969" spans="1:38" x14ac:dyDescent="0.2">
      <c r="A1969" s="2" t="str">
        <f>HYPERLINK("https://www.compass.com/listing/301-west-53rd-street-unit-3g-manhattan-ny-10019/29388105752588545/","301 W 53rd St, Unit 3G")</f>
        <v>301 W 53rd St, Unit 3G</v>
      </c>
      <c r="B1969" s="2" t="str">
        <f t="shared" si="331"/>
        <v>Fifty Third and Eighth</v>
      </c>
      <c r="C1969" s="1" t="s">
        <v>57</v>
      </c>
      <c r="D1969" s="1" t="s">
        <v>41</v>
      </c>
      <c r="E1969" s="3">
        <v>994172</v>
      </c>
      <c r="F1969" s="1">
        <v>1466.33038348082</v>
      </c>
      <c r="G1969" s="1">
        <v>3</v>
      </c>
      <c r="H1969" s="1">
        <v>1</v>
      </c>
      <c r="I1969" s="1">
        <v>1</v>
      </c>
      <c r="J1969" s="1">
        <v>1</v>
      </c>
      <c r="M1969" s="1">
        <v>678</v>
      </c>
      <c r="N1969" s="1">
        <v>557</v>
      </c>
      <c r="O1969" s="1">
        <v>1279</v>
      </c>
      <c r="P1969" s="1">
        <v>722</v>
      </c>
      <c r="Q1969" s="1" t="s">
        <v>42</v>
      </c>
      <c r="S1969" s="1" t="s">
        <v>42</v>
      </c>
      <c r="T1969" s="1" t="s">
        <v>203</v>
      </c>
      <c r="V1969" s="5">
        <v>43668</v>
      </c>
      <c r="W1969" s="5">
        <v>42404</v>
      </c>
      <c r="X1969" s="1">
        <v>972000</v>
      </c>
      <c r="Y1969" s="1">
        <v>972000</v>
      </c>
      <c r="Z1969" s="5">
        <v>42404</v>
      </c>
      <c r="AA1969" s="1">
        <v>994172</v>
      </c>
      <c r="AB1969" s="1" t="s">
        <v>1510</v>
      </c>
      <c r="AC1969" s="5">
        <v>42430</v>
      </c>
      <c r="AF1969" s="1">
        <v>10019</v>
      </c>
      <c r="AI1969" s="1" t="s">
        <v>76</v>
      </c>
      <c r="AJ1969" s="1">
        <v>2017</v>
      </c>
      <c r="AK1969" s="1" t="s">
        <v>50</v>
      </c>
      <c r="AL1969" s="1">
        <v>248</v>
      </c>
    </row>
    <row r="1970" spans="1:38" x14ac:dyDescent="0.2">
      <c r="A1970" s="2" t="str">
        <f>HYPERLINK("https://www.compass.com/listing/301-west-53rd-street-unit-7g-manhattan-ny-10019/29388122571739601/","301 W 53rd St, Unit 7G")</f>
        <v>301 W 53rd St, Unit 7G</v>
      </c>
      <c r="B1970" s="2" t="str">
        <f t="shared" si="331"/>
        <v>Fifty Third and Eighth</v>
      </c>
      <c r="C1970" s="1" t="s">
        <v>57</v>
      </c>
      <c r="D1970" s="1" t="s">
        <v>41</v>
      </c>
      <c r="E1970" s="3">
        <v>980440</v>
      </c>
      <c r="F1970" s="1">
        <v>1446.0764896755099</v>
      </c>
      <c r="G1970" s="1">
        <v>3</v>
      </c>
      <c r="H1970" s="1">
        <v>1</v>
      </c>
      <c r="I1970" s="1">
        <v>1</v>
      </c>
      <c r="J1970" s="1">
        <v>1</v>
      </c>
      <c r="M1970" s="1">
        <v>678</v>
      </c>
      <c r="N1970" s="1">
        <v>568</v>
      </c>
      <c r="O1970" s="1">
        <v>1304</v>
      </c>
      <c r="P1970" s="1">
        <v>736</v>
      </c>
      <c r="Q1970" s="1" t="s">
        <v>42</v>
      </c>
      <c r="S1970" s="1" t="s">
        <v>42</v>
      </c>
      <c r="T1970" s="1" t="s">
        <v>203</v>
      </c>
      <c r="V1970" s="5">
        <v>43603</v>
      </c>
      <c r="W1970" s="5">
        <v>42251</v>
      </c>
      <c r="X1970" s="1">
        <v>976000</v>
      </c>
      <c r="Y1970" s="1">
        <v>976000</v>
      </c>
      <c r="Z1970" s="5">
        <v>42252</v>
      </c>
      <c r="AA1970" s="1">
        <v>980439.86</v>
      </c>
      <c r="AB1970" s="1" t="s">
        <v>1511</v>
      </c>
      <c r="AC1970" s="5">
        <v>42255</v>
      </c>
      <c r="AF1970" s="1">
        <v>10019</v>
      </c>
      <c r="AI1970" s="1" t="s">
        <v>76</v>
      </c>
      <c r="AJ1970" s="1">
        <v>2017</v>
      </c>
      <c r="AK1970" s="1" t="s">
        <v>50</v>
      </c>
      <c r="AL1970" s="1">
        <v>248</v>
      </c>
    </row>
    <row r="1971" spans="1:38" x14ac:dyDescent="0.2">
      <c r="A1971" s="2" t="str">
        <f>HYPERLINK("https://www.compass.com/listing/301-west-53rd-street-unit-9h-manhattan-ny-10019/29388131773986769/","301 W 53rd St, Unit 9H")</f>
        <v>301 W 53rd St, Unit 9H</v>
      </c>
      <c r="B1971" s="2" t="str">
        <f t="shared" si="331"/>
        <v>Fifty Third and Eighth</v>
      </c>
      <c r="C1971" s="1" t="s">
        <v>57</v>
      </c>
      <c r="D1971" s="1" t="s">
        <v>41</v>
      </c>
      <c r="E1971" s="3">
        <v>982491</v>
      </c>
      <c r="F1971" s="1">
        <v>1473</v>
      </c>
      <c r="G1971" s="1">
        <v>3</v>
      </c>
      <c r="H1971" s="1">
        <v>1</v>
      </c>
      <c r="I1971" s="1">
        <v>1</v>
      </c>
      <c r="J1971" s="1">
        <v>1</v>
      </c>
      <c r="M1971" s="1">
        <v>667</v>
      </c>
      <c r="N1971" s="1">
        <v>546</v>
      </c>
      <c r="O1971" s="1">
        <v>1331</v>
      </c>
      <c r="P1971" s="1">
        <v>785</v>
      </c>
      <c r="Q1971" s="1" t="s">
        <v>42</v>
      </c>
      <c r="S1971" s="1" t="s">
        <v>42</v>
      </c>
      <c r="T1971" s="1" t="s">
        <v>203</v>
      </c>
      <c r="V1971" s="5">
        <v>43654</v>
      </c>
      <c r="W1971" s="5">
        <v>42278</v>
      </c>
      <c r="X1971" s="1">
        <v>978000</v>
      </c>
      <c r="Y1971" s="1">
        <v>978000</v>
      </c>
      <c r="Z1971" s="5">
        <v>42278</v>
      </c>
      <c r="AA1971" s="1">
        <v>982491</v>
      </c>
      <c r="AB1971" s="1" t="s">
        <v>1512</v>
      </c>
      <c r="AC1971" s="5">
        <v>42305</v>
      </c>
      <c r="AF1971" s="1">
        <v>10019</v>
      </c>
      <c r="AI1971" s="1" t="s">
        <v>76</v>
      </c>
      <c r="AJ1971" s="1">
        <v>2017</v>
      </c>
      <c r="AK1971" s="1" t="s">
        <v>50</v>
      </c>
      <c r="AL1971" s="1">
        <v>248</v>
      </c>
    </row>
    <row r="1972" spans="1:38" x14ac:dyDescent="0.2">
      <c r="A1972" s="2" t="str">
        <f>HYPERLINK("https://www.compass.com/listing/301-west-53rd-street-unit-10h-manhattan-ny-10019/29388135431475937/","301 W 53rd St, Unit 10H")</f>
        <v>301 W 53rd St, Unit 10H</v>
      </c>
      <c r="B1972" s="2" t="str">
        <f t="shared" si="331"/>
        <v>Fifty Third and Eighth</v>
      </c>
      <c r="C1972" s="1" t="s">
        <v>57</v>
      </c>
      <c r="D1972" s="1" t="s">
        <v>41</v>
      </c>
      <c r="E1972" s="3">
        <v>991590</v>
      </c>
      <c r="F1972" s="1">
        <v>1486.6416791604099</v>
      </c>
      <c r="G1972" s="1">
        <v>3</v>
      </c>
      <c r="H1972" s="1">
        <v>1</v>
      </c>
      <c r="I1972" s="1">
        <v>1</v>
      </c>
      <c r="J1972" s="1">
        <v>1</v>
      </c>
      <c r="M1972" s="1">
        <v>667</v>
      </c>
      <c r="N1972" s="1">
        <v>567</v>
      </c>
      <c r="O1972" s="1">
        <v>1302</v>
      </c>
      <c r="P1972" s="1">
        <v>735</v>
      </c>
      <c r="Q1972" s="1" t="s">
        <v>42</v>
      </c>
      <c r="S1972" s="1" t="s">
        <v>42</v>
      </c>
      <c r="T1972" s="1" t="s">
        <v>203</v>
      </c>
      <c r="V1972" s="5">
        <v>43654</v>
      </c>
      <c r="W1972" s="5">
        <v>42292</v>
      </c>
      <c r="X1972" s="1">
        <v>979000</v>
      </c>
      <c r="Y1972" s="1">
        <v>979000</v>
      </c>
      <c r="Z1972" s="5">
        <v>42292</v>
      </c>
      <c r="AA1972" s="1">
        <v>991590</v>
      </c>
      <c r="AB1972" s="1" t="s">
        <v>1513</v>
      </c>
      <c r="AC1972" s="5">
        <v>42308</v>
      </c>
      <c r="AF1972" s="1">
        <v>10019</v>
      </c>
      <c r="AI1972" s="1" t="s">
        <v>76</v>
      </c>
      <c r="AJ1972" s="1">
        <v>2017</v>
      </c>
      <c r="AK1972" s="1" t="s">
        <v>50</v>
      </c>
      <c r="AL1972" s="1">
        <v>248</v>
      </c>
    </row>
    <row r="1973" spans="1:38" x14ac:dyDescent="0.2">
      <c r="A1973" s="2" t="str">
        <f>HYPERLINK("https://www.compass.com/listing/301-west-53rd-street-unit-10i-manhattan-ny-10019/29388135850914561/","301 W 53rd St, Unit 10I")</f>
        <v>301 W 53rd St, Unit 10I</v>
      </c>
      <c r="B1973" s="2" t="str">
        <f t="shared" si="331"/>
        <v>Fifty Third and Eighth</v>
      </c>
      <c r="C1973" s="1" t="s">
        <v>57</v>
      </c>
      <c r="D1973" s="1" t="s">
        <v>41</v>
      </c>
      <c r="E1973" s="3">
        <v>983513</v>
      </c>
      <c r="F1973" s="1">
        <v>1474.5320839580199</v>
      </c>
      <c r="G1973" s="1">
        <v>3</v>
      </c>
      <c r="H1973" s="1">
        <v>1</v>
      </c>
      <c r="I1973" s="1">
        <v>1</v>
      </c>
      <c r="J1973" s="1">
        <v>1</v>
      </c>
      <c r="M1973" s="1">
        <v>667</v>
      </c>
      <c r="N1973" s="1">
        <v>567</v>
      </c>
      <c r="O1973" s="1">
        <v>1302</v>
      </c>
      <c r="P1973" s="1">
        <v>735</v>
      </c>
      <c r="Q1973" s="1" t="s">
        <v>42</v>
      </c>
      <c r="S1973" s="1" t="s">
        <v>42</v>
      </c>
      <c r="T1973" s="1" t="s">
        <v>203</v>
      </c>
      <c r="U1973" s="1">
        <v>254</v>
      </c>
      <c r="V1973" s="5">
        <v>42502</v>
      </c>
      <c r="W1973" s="5">
        <v>42013</v>
      </c>
      <c r="X1973" s="1">
        <v>979000</v>
      </c>
      <c r="Y1973" s="1">
        <v>979000</v>
      </c>
      <c r="Z1973" s="5">
        <v>42403</v>
      </c>
      <c r="AA1973" s="1">
        <v>983512.9</v>
      </c>
      <c r="AB1973" s="1" t="s">
        <v>1514</v>
      </c>
      <c r="AC1973" s="5">
        <v>42268</v>
      </c>
      <c r="AF1973" s="1">
        <v>10019</v>
      </c>
      <c r="AI1973" s="1" t="s">
        <v>76</v>
      </c>
      <c r="AJ1973" s="1">
        <v>2017</v>
      </c>
      <c r="AK1973" s="1" t="s">
        <v>50</v>
      </c>
      <c r="AL1973" s="1">
        <v>248</v>
      </c>
    </row>
    <row r="1974" spans="1:38" x14ac:dyDescent="0.2">
      <c r="A1974" s="2" t="str">
        <f>HYPERLINK("https://www.compass.com/listing/301-west-53rd-street-unit-4i-manhattan-ny-10019/29507302335822369/","301 W 53rd St, Unit 4I")</f>
        <v>301 W 53rd St, Unit 4I</v>
      </c>
      <c r="B1974" s="2" t="str">
        <f t="shared" si="331"/>
        <v>Fifty Third and Eighth</v>
      </c>
      <c r="C1974" s="1" t="s">
        <v>57</v>
      </c>
      <c r="D1974" s="1" t="s">
        <v>41</v>
      </c>
      <c r="E1974" s="3">
        <v>995140</v>
      </c>
      <c r="F1974" s="1">
        <v>1489.7305389221499</v>
      </c>
      <c r="G1974" s="1">
        <v>3</v>
      </c>
      <c r="H1974" s="1">
        <v>1</v>
      </c>
      <c r="I1974" s="1">
        <v>1</v>
      </c>
      <c r="J1974" s="1">
        <v>1</v>
      </c>
      <c r="K1974" s="1">
        <v>1</v>
      </c>
      <c r="M1974" s="1">
        <v>668</v>
      </c>
      <c r="N1974" s="1">
        <v>551</v>
      </c>
      <c r="O1974" s="1">
        <v>1265</v>
      </c>
      <c r="P1974" s="1">
        <v>714</v>
      </c>
      <c r="Q1974" s="1" t="s">
        <v>42</v>
      </c>
      <c r="S1974" s="1" t="s">
        <v>42</v>
      </c>
      <c r="T1974" s="1" t="s">
        <v>203</v>
      </c>
      <c r="V1974" s="5">
        <v>44352</v>
      </c>
      <c r="W1974" s="5">
        <v>42404</v>
      </c>
      <c r="X1974" s="1">
        <v>973000</v>
      </c>
      <c r="Y1974" s="1">
        <v>973000</v>
      </c>
      <c r="Z1974" s="5">
        <v>42404</v>
      </c>
      <c r="AA1974" s="1">
        <v>995140</v>
      </c>
      <c r="AB1974" s="1" t="s">
        <v>1515</v>
      </c>
      <c r="AC1974" s="5">
        <v>42434</v>
      </c>
      <c r="AF1974" s="1">
        <v>10019</v>
      </c>
      <c r="AI1974" s="1" t="s">
        <v>76</v>
      </c>
      <c r="AJ1974" s="1">
        <v>2017</v>
      </c>
      <c r="AK1974" s="1" t="s">
        <v>50</v>
      </c>
      <c r="AL1974" s="1">
        <v>248</v>
      </c>
    </row>
    <row r="1975" spans="1:38" x14ac:dyDescent="0.2">
      <c r="A1975" s="2" t="str">
        <f>HYPERLINK("https://www.compass.com/listing/591-3rd-avenue-unit-9a-manhattan-ny-10016/803374432785691033/","591 3rd Ave, Unit 9A")</f>
        <v>591 3rd Ave, Unit 9A</v>
      </c>
      <c r="B1975" s="2" t="str">
        <f>HYPERLINK("https://www.compass.com/building/the-lindley-manhattan-ny/282058799928343829/","The Lindley")</f>
        <v>The Lindley</v>
      </c>
      <c r="C1975" s="1" t="s">
        <v>165</v>
      </c>
      <c r="D1975" s="1" t="s">
        <v>41</v>
      </c>
      <c r="E1975" s="3">
        <v>1494736</v>
      </c>
      <c r="F1975" s="1">
        <v>1998.3101604277999</v>
      </c>
      <c r="G1975" s="1">
        <v>3</v>
      </c>
      <c r="H1975" s="1">
        <v>1</v>
      </c>
      <c r="I1975" s="1">
        <v>1</v>
      </c>
      <c r="J1975" s="1">
        <v>1</v>
      </c>
      <c r="M1975" s="1">
        <v>748</v>
      </c>
      <c r="N1975" s="1">
        <v>1055</v>
      </c>
      <c r="O1975" s="1">
        <v>1451</v>
      </c>
      <c r="P1975" s="1">
        <v>396</v>
      </c>
      <c r="Q1975" s="1" t="s">
        <v>42</v>
      </c>
      <c r="S1975" s="1" t="s">
        <v>42</v>
      </c>
      <c r="T1975" s="1" t="s">
        <v>203</v>
      </c>
      <c r="U1975" s="1">
        <v>354</v>
      </c>
      <c r="V1975" s="5">
        <v>43272</v>
      </c>
      <c r="W1975" s="5">
        <v>42917</v>
      </c>
      <c r="X1975" s="1">
        <v>1465000</v>
      </c>
      <c r="Y1975" s="1">
        <v>1465000</v>
      </c>
      <c r="AA1975" s="1">
        <v>1494736</v>
      </c>
      <c r="AB1975" s="1" t="s">
        <v>1480</v>
      </c>
      <c r="AC1975" s="5">
        <v>43356</v>
      </c>
      <c r="AF1975" s="1">
        <v>10016</v>
      </c>
      <c r="AI1975" s="1" t="s">
        <v>1464</v>
      </c>
      <c r="AJ1975" s="1">
        <v>2018</v>
      </c>
      <c r="AK1975" s="1" t="s">
        <v>55</v>
      </c>
      <c r="AL1975" s="1">
        <v>74</v>
      </c>
    </row>
    <row r="1976" spans="1:38" x14ac:dyDescent="0.2">
      <c r="A1976" s="2" t="str">
        <f>HYPERLINK("https://www.compass.com/listing/215-west-122nd-street-unit-4-manhattan-ny-10027/74446656652817729/","215 W 122nd St, Unit 4")</f>
        <v>215 W 122nd St, Unit 4</v>
      </c>
      <c r="B1976" s="2" t="str">
        <f>HYPERLINK("https://www.compass.com/building/215-w-122nd-st-manhattan-ny-10027/281980069470110005/","215 W 122nd St")</f>
        <v>215 W 122nd St</v>
      </c>
      <c r="C1976" s="1" t="s">
        <v>131</v>
      </c>
      <c r="D1976" s="1" t="s">
        <v>41</v>
      </c>
      <c r="E1976" s="3">
        <v>1212000</v>
      </c>
      <c r="F1976" s="1">
        <v>1057.5916230366399</v>
      </c>
      <c r="G1976" s="1">
        <v>5</v>
      </c>
      <c r="H1976" s="1">
        <v>2</v>
      </c>
      <c r="I1976" s="1">
        <v>2</v>
      </c>
      <c r="J1976" s="1">
        <v>2</v>
      </c>
      <c r="K1976" s="1">
        <v>2</v>
      </c>
      <c r="M1976" s="4">
        <v>1146</v>
      </c>
      <c r="N1976" s="1">
        <v>709</v>
      </c>
      <c r="O1976" s="1">
        <v>1389</v>
      </c>
      <c r="P1976" s="1">
        <v>680</v>
      </c>
      <c r="Q1976" s="1" t="s">
        <v>42</v>
      </c>
      <c r="S1976" s="1" t="s">
        <v>42</v>
      </c>
      <c r="T1976" s="1" t="s">
        <v>203</v>
      </c>
      <c r="U1976" s="1">
        <v>324</v>
      </c>
      <c r="V1976" s="5">
        <v>43678</v>
      </c>
      <c r="W1976" s="5">
        <v>43354</v>
      </c>
      <c r="X1976" s="1">
        <v>1545000</v>
      </c>
      <c r="Y1976" s="1">
        <v>1350000</v>
      </c>
      <c r="AA1976" s="1">
        <v>1212000</v>
      </c>
      <c r="AB1976" s="1" t="s">
        <v>1516</v>
      </c>
      <c r="AC1976" s="5">
        <v>43791</v>
      </c>
      <c r="AF1976" s="1">
        <v>10027</v>
      </c>
      <c r="AI1976" s="1" t="s">
        <v>89</v>
      </c>
      <c r="AJ1976" s="1">
        <v>2018</v>
      </c>
      <c r="AL1976" s="1">
        <v>6</v>
      </c>
    </row>
    <row r="1977" spans="1:38" x14ac:dyDescent="0.2">
      <c r="A1977" s="2" t="str">
        <f>HYPERLINK("https://www.compass.com/listing/40-pinehurst-avenue-unit-6b-manhattan-ny-10033/272365759869503681/","40 Pinehurst Ave, Unit 6B")</f>
        <v>40 Pinehurst Ave, Unit 6B</v>
      </c>
      <c r="B1977" s="2" t="str">
        <f>HYPERLINK("https://www.compass.com/building/the-ammann-manhattan-ny/282011498950165109/","The Ammann")</f>
        <v>The Ammann</v>
      </c>
      <c r="C1977" s="1" t="s">
        <v>164</v>
      </c>
      <c r="D1977" s="1" t="s">
        <v>41</v>
      </c>
      <c r="E1977" s="3">
        <v>700000</v>
      </c>
      <c r="F1977" s="1">
        <v>1078.58243451463</v>
      </c>
      <c r="G1977" s="1">
        <v>3</v>
      </c>
      <c r="H1977" s="1">
        <v>1</v>
      </c>
      <c r="I1977" s="1">
        <v>1</v>
      </c>
      <c r="J1977" s="1">
        <v>1</v>
      </c>
      <c r="K1977" s="1">
        <v>1</v>
      </c>
      <c r="M1977" s="1">
        <v>649</v>
      </c>
      <c r="N1977" s="1">
        <v>307.31</v>
      </c>
      <c r="O1977" s="1">
        <v>477.35</v>
      </c>
      <c r="P1977" s="1">
        <v>170</v>
      </c>
      <c r="Q1977" s="1" t="s">
        <v>42</v>
      </c>
      <c r="S1977" s="1" t="s">
        <v>42</v>
      </c>
      <c r="T1977" s="1" t="s">
        <v>203</v>
      </c>
      <c r="V1977" s="5">
        <v>43703</v>
      </c>
      <c r="W1977" s="5">
        <v>43626</v>
      </c>
      <c r="X1977" s="1">
        <v>700000</v>
      </c>
      <c r="Y1977" s="1">
        <v>700000</v>
      </c>
      <c r="Z1977" s="5">
        <v>43626</v>
      </c>
      <c r="AA1977" s="1">
        <v>700000</v>
      </c>
      <c r="AB1977" s="1" t="s">
        <v>1517</v>
      </c>
      <c r="AC1977" s="5">
        <v>43661</v>
      </c>
      <c r="AF1977" s="1">
        <v>10033</v>
      </c>
      <c r="AI1977" s="1" t="s">
        <v>97</v>
      </c>
      <c r="AJ1977" s="1">
        <v>2018</v>
      </c>
      <c r="AL1977" s="1">
        <v>24</v>
      </c>
    </row>
    <row r="1978" spans="1:38" x14ac:dyDescent="0.2">
      <c r="A1978" s="2" t="str">
        <f>HYPERLINK("https://www.compass.com/listing/591-3rd-avenue-unit-16c-manhattan-ny-10016/29509778149564961/","591 3rd Ave, Unit 16C")</f>
        <v>591 3rd Ave, Unit 16C</v>
      </c>
      <c r="B1978" s="2" t="str">
        <f>HYPERLINK("https://www.compass.com/building/the-lindley-manhattan-ny/282058799928343829/","The Lindley")</f>
        <v>The Lindley</v>
      </c>
      <c r="C1978" s="1" t="s">
        <v>165</v>
      </c>
      <c r="D1978" s="1" t="s">
        <v>41</v>
      </c>
      <c r="E1978" s="3">
        <v>1588000</v>
      </c>
      <c r="F1978" s="1">
        <v>1802.49716231555</v>
      </c>
      <c r="G1978" s="1">
        <v>3</v>
      </c>
      <c r="H1978" s="1">
        <v>1</v>
      </c>
      <c r="I1978" s="1">
        <v>2</v>
      </c>
      <c r="J1978" s="1">
        <v>1.5</v>
      </c>
      <c r="K1978" s="1">
        <v>1</v>
      </c>
      <c r="L1978" s="1">
        <v>1</v>
      </c>
      <c r="M1978" s="1">
        <v>881</v>
      </c>
      <c r="N1978" s="1">
        <v>1279.29</v>
      </c>
      <c r="O1978" s="1">
        <v>1759.77</v>
      </c>
      <c r="P1978" s="1">
        <v>480.5</v>
      </c>
      <c r="Q1978" s="1" t="s">
        <v>42</v>
      </c>
      <c r="S1978" s="1" t="s">
        <v>42</v>
      </c>
      <c r="T1978" s="1" t="s">
        <v>203</v>
      </c>
      <c r="U1978" s="1">
        <v>181</v>
      </c>
      <c r="V1978" s="5">
        <v>43638</v>
      </c>
      <c r="W1978" s="5">
        <v>43176</v>
      </c>
      <c r="X1978" s="1">
        <v>1650000</v>
      </c>
      <c r="Y1978" s="1">
        <v>1650000</v>
      </c>
      <c r="Z1978" s="5">
        <v>43357</v>
      </c>
      <c r="AA1978" s="1">
        <v>1588000</v>
      </c>
      <c r="AB1978" s="1" t="s">
        <v>1518</v>
      </c>
      <c r="AC1978" s="5">
        <v>43600</v>
      </c>
      <c r="AF1978" s="1">
        <v>10016</v>
      </c>
      <c r="AI1978" s="1" t="s">
        <v>1464</v>
      </c>
      <c r="AJ1978" s="1">
        <v>2018</v>
      </c>
      <c r="AK1978" s="1" t="s">
        <v>87</v>
      </c>
      <c r="AL1978" s="1">
        <v>74</v>
      </c>
    </row>
    <row r="1979" spans="1:38" x14ac:dyDescent="0.2">
      <c r="A1979" s="2" t="str">
        <f>HYPERLINK("https://www.compass.com/listing/40-pinehurst-avenue-unit-4b-manhattan-ny-10033/246481023179745729/","40 Pinehurst Ave, Unit 4B")</f>
        <v>40 Pinehurst Ave, Unit 4B</v>
      </c>
      <c r="B1979" s="2" t="str">
        <f>HYPERLINK("https://www.compass.com/building/the-ammann-manhattan-ny/282011498950165109/","The Ammann")</f>
        <v>The Ammann</v>
      </c>
      <c r="C1979" s="1" t="s">
        <v>164</v>
      </c>
      <c r="D1979" s="1" t="s">
        <v>41</v>
      </c>
      <c r="E1979" s="3">
        <v>650662</v>
      </c>
      <c r="F1979" s="1">
        <v>1002.5604776579301</v>
      </c>
      <c r="G1979" s="1">
        <v>3</v>
      </c>
      <c r="H1979" s="1">
        <v>1</v>
      </c>
      <c r="I1979" s="1">
        <v>1</v>
      </c>
      <c r="J1979" s="1">
        <v>1</v>
      </c>
      <c r="K1979" s="1">
        <v>1</v>
      </c>
      <c r="M1979" s="1">
        <v>649</v>
      </c>
      <c r="N1979" s="1">
        <v>294.20999999999998</v>
      </c>
      <c r="O1979" s="1">
        <v>457.01</v>
      </c>
      <c r="P1979" s="1">
        <v>162.833333333333</v>
      </c>
      <c r="Q1979" s="1" t="s">
        <v>42</v>
      </c>
      <c r="S1979" s="1" t="s">
        <v>42</v>
      </c>
      <c r="T1979" s="1" t="s">
        <v>203</v>
      </c>
      <c r="U1979" s="1">
        <v>107</v>
      </c>
      <c r="V1979" s="5">
        <v>43767</v>
      </c>
      <c r="W1979" s="5">
        <v>43592</v>
      </c>
      <c r="X1979" s="1">
        <v>648000</v>
      </c>
      <c r="Y1979" s="1">
        <v>648000</v>
      </c>
      <c r="Z1979" s="5">
        <v>43699</v>
      </c>
      <c r="AA1979" s="1">
        <v>650661.75</v>
      </c>
      <c r="AB1979" s="1" t="s">
        <v>1519</v>
      </c>
      <c r="AC1979" s="5">
        <v>43759</v>
      </c>
      <c r="AF1979" s="1">
        <v>10033</v>
      </c>
      <c r="AI1979" s="1" t="s">
        <v>97</v>
      </c>
      <c r="AJ1979" s="1">
        <v>2018</v>
      </c>
      <c r="AL1979" s="1">
        <v>24</v>
      </c>
    </row>
    <row r="1980" spans="1:38" x14ac:dyDescent="0.2">
      <c r="A1980" s="2" t="str">
        <f>HYPERLINK("https://www.compass.com/listing/301-west-53rd-street-unit-25h-manhattan-ny-10019/621890900261694177/","301 W 53rd St, Unit 25H")</f>
        <v>301 W 53rd St, Unit 25H</v>
      </c>
      <c r="B1980" s="2" t="str">
        <f>HYPERLINK("https://www.compass.com/building/fifty-third-and-eighth-manhattan-ny/281944545158031557/","Fifty Third and Eighth")</f>
        <v>Fifty Third and Eighth</v>
      </c>
      <c r="C1980" s="1" t="s">
        <v>57</v>
      </c>
      <c r="D1980" s="1" t="s">
        <v>41</v>
      </c>
      <c r="E1980" s="3">
        <v>939000</v>
      </c>
      <c r="F1980" s="1">
        <v>1407.7961019490201</v>
      </c>
      <c r="G1980" s="1">
        <v>3</v>
      </c>
      <c r="H1980" s="1">
        <v>1</v>
      </c>
      <c r="I1980" s="1">
        <v>1</v>
      </c>
      <c r="J1980" s="1">
        <v>1</v>
      </c>
      <c r="K1980" s="1">
        <v>1</v>
      </c>
      <c r="M1980" s="1">
        <v>667</v>
      </c>
      <c r="N1980" s="1">
        <v>678</v>
      </c>
      <c r="O1980" s="1">
        <v>1633</v>
      </c>
      <c r="P1980" s="1">
        <v>955</v>
      </c>
      <c r="Q1980" s="1" t="s">
        <v>42</v>
      </c>
      <c r="S1980" s="1" t="s">
        <v>42</v>
      </c>
      <c r="T1980" s="1" t="s">
        <v>203</v>
      </c>
      <c r="U1980" s="1">
        <v>23</v>
      </c>
      <c r="V1980" s="5">
        <v>44233</v>
      </c>
      <c r="W1980" s="5">
        <v>44109</v>
      </c>
      <c r="X1980" s="1">
        <v>939000</v>
      </c>
      <c r="Y1980" s="1">
        <v>939000</v>
      </c>
      <c r="Z1980" s="5">
        <v>44133</v>
      </c>
      <c r="AA1980" s="1">
        <v>939000</v>
      </c>
      <c r="AB1980" s="1" t="s">
        <v>1520</v>
      </c>
      <c r="AC1980" s="5">
        <v>44221</v>
      </c>
      <c r="AF1980" s="1">
        <v>10019</v>
      </c>
      <c r="AI1980" s="1" t="s">
        <v>154</v>
      </c>
      <c r="AJ1980" s="1">
        <v>2017</v>
      </c>
      <c r="AK1980" s="1" t="s">
        <v>81</v>
      </c>
      <c r="AL1980" s="1">
        <v>248</v>
      </c>
    </row>
    <row r="1981" spans="1:38" x14ac:dyDescent="0.2">
      <c r="A1981" s="2" t="str">
        <f>HYPERLINK("https://www.compass.com/listing/591-3rd-avenue-unit-5b-manhattan-ny-10016/109821794755584753/","591 3rd Ave, Unit 5B")</f>
        <v>591 3rd Ave, Unit 5B</v>
      </c>
      <c r="B1981" s="2" t="str">
        <f t="shared" ref="B1981:B1982" si="332">HYPERLINK("https://www.compass.com/building/the-lindley-manhattan-ny/282058799928343829/","The Lindley")</f>
        <v>The Lindley</v>
      </c>
      <c r="C1981" s="1" t="s">
        <v>165</v>
      </c>
      <c r="D1981" s="1" t="s">
        <v>41</v>
      </c>
      <c r="E1981" s="3">
        <v>1387820</v>
      </c>
      <c r="F1981" s="1">
        <v>1797.6943005181299</v>
      </c>
      <c r="H1981" s="1">
        <v>1</v>
      </c>
      <c r="J1981" s="1">
        <v>1</v>
      </c>
      <c r="M1981" s="1">
        <v>772</v>
      </c>
      <c r="N1981" s="1">
        <v>1067</v>
      </c>
      <c r="O1981" s="1">
        <v>1468</v>
      </c>
      <c r="P1981" s="1">
        <v>401</v>
      </c>
      <c r="Q1981" s="1" t="s">
        <v>42</v>
      </c>
      <c r="S1981" s="1" t="s">
        <v>42</v>
      </c>
      <c r="T1981" s="1" t="s">
        <v>203</v>
      </c>
      <c r="AA1981" s="1">
        <v>1387820</v>
      </c>
      <c r="AB1981" s="1" t="s">
        <v>1521</v>
      </c>
      <c r="AC1981" s="5">
        <v>43395</v>
      </c>
      <c r="AF1981" s="1">
        <v>10016</v>
      </c>
      <c r="AI1981" s="1" t="s">
        <v>166</v>
      </c>
      <c r="AJ1981" s="1">
        <v>2018</v>
      </c>
      <c r="AK1981" s="1" t="s">
        <v>55</v>
      </c>
      <c r="AL1981" s="1">
        <v>74</v>
      </c>
    </row>
    <row r="1982" spans="1:38" x14ac:dyDescent="0.2">
      <c r="A1982" s="2" t="str">
        <f>HYPERLINK("https://www.compass.com/listing/591-3rd-avenue-unit-9b-manhattan-ny-10016/132303360991757409/","591 3rd Ave, Unit 9B")</f>
        <v>591 3rd Ave, Unit 9B</v>
      </c>
      <c r="B1982" s="2" t="str">
        <f t="shared" si="332"/>
        <v>The Lindley</v>
      </c>
      <c r="C1982" s="1" t="s">
        <v>165</v>
      </c>
      <c r="D1982" s="1" t="s">
        <v>41</v>
      </c>
      <c r="E1982" s="3">
        <v>1466280</v>
      </c>
      <c r="F1982" s="1">
        <v>1875.0383631713501</v>
      </c>
      <c r="H1982" s="1">
        <v>1</v>
      </c>
      <c r="J1982" s="1">
        <v>1</v>
      </c>
      <c r="K1982" s="1">
        <v>1</v>
      </c>
      <c r="M1982" s="1">
        <v>782</v>
      </c>
      <c r="N1982" s="1">
        <v>1104</v>
      </c>
      <c r="O1982" s="1">
        <v>1463</v>
      </c>
      <c r="P1982" s="1">
        <v>359</v>
      </c>
      <c r="Q1982" s="1" t="s">
        <v>42</v>
      </c>
      <c r="S1982" s="1" t="s">
        <v>42</v>
      </c>
      <c r="T1982" s="1" t="s">
        <v>203</v>
      </c>
      <c r="AA1982" s="1">
        <v>1466280</v>
      </c>
      <c r="AB1982" s="1" t="s">
        <v>1522</v>
      </c>
      <c r="AC1982" s="5">
        <v>43425</v>
      </c>
      <c r="AF1982" s="1">
        <v>10016</v>
      </c>
      <c r="AI1982" s="1" t="s">
        <v>166</v>
      </c>
      <c r="AJ1982" s="1">
        <v>2018</v>
      </c>
      <c r="AK1982" s="1" t="s">
        <v>55</v>
      </c>
      <c r="AL1982" s="1">
        <v>74</v>
      </c>
    </row>
    <row r="1983" spans="1:38" x14ac:dyDescent="0.2">
      <c r="A1983" s="2" t="str">
        <f>HYPERLINK("https://www.compass.com/listing/375-west-123rd-street-unit-7a-manhattan-ny-10027/728996517337040913/","375 W 123rd St, Unit 7A")</f>
        <v>375 W 123rd St, Unit 7A</v>
      </c>
      <c r="B1983" s="2" t="str">
        <f>HYPERLINK("https://www.compass.com/building/99-morningside-manhattan-ny/281983676789660549/","99 Morningside")</f>
        <v>99 Morningside</v>
      </c>
      <c r="C1983" s="1" t="s">
        <v>131</v>
      </c>
      <c r="D1983" s="1" t="s">
        <v>41</v>
      </c>
      <c r="E1983" s="3">
        <v>1642723</v>
      </c>
      <c r="F1983" s="1">
        <v>1114.4659023066399</v>
      </c>
      <c r="G1983" s="1">
        <v>5</v>
      </c>
      <c r="H1983" s="1">
        <v>3</v>
      </c>
      <c r="I1983" s="1">
        <v>2</v>
      </c>
      <c r="J1983" s="1">
        <v>2</v>
      </c>
      <c r="K1983" s="1">
        <v>2</v>
      </c>
      <c r="M1983" s="4">
        <v>1474</v>
      </c>
      <c r="N1983" s="1">
        <v>1376</v>
      </c>
      <c r="O1983" s="1">
        <v>2526</v>
      </c>
      <c r="P1983" s="1">
        <v>1150</v>
      </c>
      <c r="S1983" s="1" t="s">
        <v>42</v>
      </c>
      <c r="T1983" s="1" t="s">
        <v>203</v>
      </c>
      <c r="V1983" s="5">
        <v>44373</v>
      </c>
      <c r="W1983" s="5">
        <v>44256</v>
      </c>
      <c r="X1983" s="1">
        <v>1735000</v>
      </c>
      <c r="Y1983" s="1">
        <v>1735000</v>
      </c>
      <c r="Z1983" s="5">
        <v>44259</v>
      </c>
      <c r="AA1983" s="1">
        <v>1642722.74</v>
      </c>
      <c r="AB1983" s="1" t="s">
        <v>215</v>
      </c>
      <c r="AC1983" s="5">
        <v>44368</v>
      </c>
      <c r="AF1983" s="1">
        <v>10027</v>
      </c>
      <c r="AI1983" s="1" t="s">
        <v>60</v>
      </c>
      <c r="AJ1983" s="1">
        <v>2016</v>
      </c>
      <c r="AK1983" s="1" t="s">
        <v>140</v>
      </c>
      <c r="AL1983" s="1">
        <v>22</v>
      </c>
    </row>
    <row r="1984" spans="1:38" x14ac:dyDescent="0.2">
      <c r="A1984" s="2" t="str">
        <f>HYPERLINK("https://www.compass.com/listing/591-3rd-avenue-unit-9c-manhattan-ny-10016/803302963648991841/","591 3rd Ave, Unit 9C")</f>
        <v>591 3rd Ave, Unit 9C</v>
      </c>
      <c r="B1984" s="2" t="str">
        <f t="shared" ref="B1984:B1989" si="333">HYPERLINK("https://www.compass.com/building/the-lindley-manhattan-ny/282058799928343829/","The Lindley")</f>
        <v>The Lindley</v>
      </c>
      <c r="C1984" s="1" t="s">
        <v>165</v>
      </c>
      <c r="D1984" s="1" t="s">
        <v>41</v>
      </c>
      <c r="E1984" s="3">
        <v>1448915</v>
      </c>
      <c r="F1984" s="1">
        <v>1852.83248081841</v>
      </c>
      <c r="G1984" s="1">
        <v>3</v>
      </c>
      <c r="H1984" s="1">
        <v>1</v>
      </c>
      <c r="I1984" s="1">
        <v>1</v>
      </c>
      <c r="J1984" s="1">
        <v>1</v>
      </c>
      <c r="M1984" s="1">
        <v>782</v>
      </c>
      <c r="N1984" s="1">
        <v>1103</v>
      </c>
      <c r="O1984" s="1">
        <v>1517</v>
      </c>
      <c r="P1984" s="1">
        <v>414</v>
      </c>
      <c r="Q1984" s="1" t="s">
        <v>42</v>
      </c>
      <c r="S1984" s="1" t="s">
        <v>42</v>
      </c>
      <c r="T1984" s="1" t="s">
        <v>203</v>
      </c>
      <c r="U1984" s="1">
        <v>2</v>
      </c>
      <c r="V1984" s="5">
        <v>43272</v>
      </c>
      <c r="W1984" s="5">
        <v>42969</v>
      </c>
      <c r="X1984" s="1">
        <v>1420000</v>
      </c>
      <c r="Y1984" s="1">
        <v>1420000</v>
      </c>
      <c r="Z1984" s="5">
        <v>42972</v>
      </c>
      <c r="AA1984" s="1">
        <v>1448915</v>
      </c>
      <c r="AB1984" s="1" t="s">
        <v>1483</v>
      </c>
      <c r="AC1984" s="5">
        <v>43391</v>
      </c>
      <c r="AF1984" s="1">
        <v>10016</v>
      </c>
      <c r="AI1984" s="1" t="s">
        <v>1464</v>
      </c>
      <c r="AJ1984" s="1">
        <v>2018</v>
      </c>
      <c r="AK1984" s="1" t="s">
        <v>55</v>
      </c>
      <c r="AL1984" s="1">
        <v>74</v>
      </c>
    </row>
    <row r="1985" spans="1:38" x14ac:dyDescent="0.2">
      <c r="A1985" s="2" t="str">
        <f>HYPERLINK("https://www.compass.com/listing/591-3rd-avenue-unit-8b-manhattan-ny-10016/803314090768253409/","591 3rd Ave, Unit 8B")</f>
        <v>591 3rd Ave, Unit 8B</v>
      </c>
      <c r="B1985" s="2" t="str">
        <f t="shared" si="333"/>
        <v>The Lindley</v>
      </c>
      <c r="C1985" s="1" t="s">
        <v>165</v>
      </c>
      <c r="D1985" s="1" t="s">
        <v>41</v>
      </c>
      <c r="E1985" s="3">
        <v>1445915</v>
      </c>
      <c r="F1985" s="1">
        <v>1848.99616368286</v>
      </c>
      <c r="G1985" s="1">
        <v>3</v>
      </c>
      <c r="H1985" s="1">
        <v>1</v>
      </c>
      <c r="I1985" s="1">
        <v>1</v>
      </c>
      <c r="J1985" s="1">
        <v>1</v>
      </c>
      <c r="M1985" s="1">
        <v>782</v>
      </c>
      <c r="N1985" s="1">
        <v>1098</v>
      </c>
      <c r="O1985" s="1">
        <v>1510</v>
      </c>
      <c r="P1985" s="1">
        <v>412</v>
      </c>
      <c r="Q1985" s="1" t="s">
        <v>42</v>
      </c>
      <c r="S1985" s="1" t="s">
        <v>42</v>
      </c>
      <c r="T1985" s="1" t="s">
        <v>203</v>
      </c>
      <c r="U1985" s="1">
        <v>292</v>
      </c>
      <c r="V1985" s="5">
        <v>43272</v>
      </c>
      <c r="W1985" s="5">
        <v>42979</v>
      </c>
      <c r="X1985" s="1">
        <v>1420000</v>
      </c>
      <c r="Y1985" s="1">
        <v>1420000</v>
      </c>
      <c r="AA1985" s="1">
        <v>1445915</v>
      </c>
      <c r="AB1985" s="1" t="s">
        <v>1482</v>
      </c>
      <c r="AC1985" s="5">
        <v>43378</v>
      </c>
      <c r="AF1985" s="1">
        <v>10016</v>
      </c>
      <c r="AI1985" s="1" t="s">
        <v>1464</v>
      </c>
      <c r="AJ1985" s="1">
        <v>2018</v>
      </c>
      <c r="AK1985" s="1" t="s">
        <v>55</v>
      </c>
      <c r="AL1985" s="1">
        <v>74</v>
      </c>
    </row>
    <row r="1986" spans="1:38" x14ac:dyDescent="0.2">
      <c r="A1986" s="2" t="str">
        <f>HYPERLINK("https://www.compass.com/listing/591-3rd-avenue-unit-6c-manhattan-ny-10016/803331773425063529/","591 3rd Ave, Unit 6C")</f>
        <v>591 3rd Ave, Unit 6C</v>
      </c>
      <c r="B1986" s="2" t="str">
        <f t="shared" si="333"/>
        <v>The Lindley</v>
      </c>
      <c r="C1986" s="1" t="s">
        <v>165</v>
      </c>
      <c r="D1986" s="1" t="s">
        <v>41</v>
      </c>
      <c r="E1986" s="3">
        <v>1387820</v>
      </c>
      <c r="F1986" s="1">
        <v>1774.7058823529401</v>
      </c>
      <c r="G1986" s="1">
        <v>3</v>
      </c>
      <c r="H1986" s="1">
        <v>1</v>
      </c>
      <c r="I1986" s="1">
        <v>1</v>
      </c>
      <c r="J1986" s="1">
        <v>1</v>
      </c>
      <c r="M1986" s="1">
        <v>782</v>
      </c>
      <c r="N1986" s="1">
        <v>1087</v>
      </c>
      <c r="O1986" s="1">
        <v>1495</v>
      </c>
      <c r="P1986" s="1">
        <v>408</v>
      </c>
      <c r="Q1986" s="1" t="s">
        <v>42</v>
      </c>
      <c r="S1986" s="1" t="s">
        <v>42</v>
      </c>
      <c r="T1986" s="1" t="s">
        <v>203</v>
      </c>
      <c r="U1986" s="1">
        <v>68</v>
      </c>
      <c r="V1986" s="5">
        <v>43272</v>
      </c>
      <c r="W1986" s="5">
        <v>42929</v>
      </c>
      <c r="X1986" s="1">
        <v>1360000</v>
      </c>
      <c r="Y1986" s="1">
        <v>1360000</v>
      </c>
      <c r="Z1986" s="5">
        <v>42998</v>
      </c>
      <c r="AA1986" s="1">
        <v>1387820</v>
      </c>
      <c r="AB1986" s="1" t="s">
        <v>1486</v>
      </c>
      <c r="AC1986" s="5">
        <v>43385</v>
      </c>
      <c r="AF1986" s="1">
        <v>10016</v>
      </c>
      <c r="AI1986" s="1" t="s">
        <v>1464</v>
      </c>
      <c r="AJ1986" s="1">
        <v>2018</v>
      </c>
      <c r="AK1986" s="1" t="s">
        <v>55</v>
      </c>
      <c r="AL1986" s="1">
        <v>74</v>
      </c>
    </row>
    <row r="1987" spans="1:38" x14ac:dyDescent="0.2">
      <c r="A1987" s="2" t="str">
        <f>HYPERLINK("https://www.compass.com/listing/591-3rd-avenue-unit-6a-manhattan-ny-10016/803333754596571673/","591 3rd Ave, Unit 6A")</f>
        <v>591 3rd Ave, Unit 6A</v>
      </c>
      <c r="B1987" s="2" t="str">
        <f t="shared" si="333"/>
        <v>The Lindley</v>
      </c>
      <c r="C1987" s="1" t="s">
        <v>165</v>
      </c>
      <c r="D1987" s="1" t="s">
        <v>41</v>
      </c>
      <c r="E1987" s="3">
        <v>1430641</v>
      </c>
      <c r="F1987" s="1">
        <v>1912.6219919785999</v>
      </c>
      <c r="G1987" s="1">
        <v>3</v>
      </c>
      <c r="H1987" s="1">
        <v>1</v>
      </c>
      <c r="I1987" s="1">
        <v>1</v>
      </c>
      <c r="J1987" s="1">
        <v>1</v>
      </c>
      <c r="M1987" s="1">
        <v>748</v>
      </c>
      <c r="N1987" s="1">
        <v>1040</v>
      </c>
      <c r="O1987" s="1">
        <v>1431</v>
      </c>
      <c r="P1987" s="1">
        <v>391</v>
      </c>
      <c r="Q1987" s="1" t="s">
        <v>42</v>
      </c>
      <c r="S1987" s="1" t="s">
        <v>42</v>
      </c>
      <c r="T1987" s="1" t="s">
        <v>203</v>
      </c>
      <c r="U1987" s="1">
        <v>92</v>
      </c>
      <c r="V1987" s="5">
        <v>43272</v>
      </c>
      <c r="W1987" s="5">
        <v>42922</v>
      </c>
      <c r="X1987" s="1">
        <v>1385000</v>
      </c>
      <c r="Y1987" s="1">
        <v>1405000</v>
      </c>
      <c r="Z1987" s="5">
        <v>43015</v>
      </c>
      <c r="AA1987" s="1">
        <v>1430641.25</v>
      </c>
      <c r="AB1987" s="1" t="s">
        <v>1488</v>
      </c>
      <c r="AC1987" s="5">
        <v>43377</v>
      </c>
      <c r="AF1987" s="1">
        <v>10016</v>
      </c>
      <c r="AI1987" s="1" t="s">
        <v>1464</v>
      </c>
      <c r="AJ1987" s="1">
        <v>2018</v>
      </c>
      <c r="AK1987" s="1" t="s">
        <v>55</v>
      </c>
      <c r="AL1987" s="1">
        <v>74</v>
      </c>
    </row>
    <row r="1988" spans="1:38" x14ac:dyDescent="0.2">
      <c r="A1988" s="2" t="str">
        <f>HYPERLINK("https://www.compass.com/listing/591-3rd-avenue-unit-15c-manhattan-ny-10016/803378493005979321/","591 3rd Ave, Unit 15C")</f>
        <v>591 3rd Ave, Unit 15C</v>
      </c>
      <c r="B1988" s="2" t="str">
        <f t="shared" si="333"/>
        <v>The Lindley</v>
      </c>
      <c r="C1988" s="1" t="s">
        <v>165</v>
      </c>
      <c r="D1988" s="1" t="s">
        <v>41</v>
      </c>
      <c r="E1988" s="3">
        <v>1532466</v>
      </c>
      <c r="F1988" s="1">
        <v>2079.3300542740799</v>
      </c>
      <c r="G1988" s="1">
        <v>3</v>
      </c>
      <c r="H1988" s="1">
        <v>1</v>
      </c>
      <c r="I1988" s="1">
        <v>1</v>
      </c>
      <c r="J1988" s="1">
        <v>1</v>
      </c>
      <c r="M1988" s="1">
        <v>737</v>
      </c>
      <c r="N1988" s="1">
        <v>1065</v>
      </c>
      <c r="O1988" s="1">
        <v>1465</v>
      </c>
      <c r="P1988" s="1">
        <v>400</v>
      </c>
      <c r="Q1988" s="1" t="s">
        <v>42</v>
      </c>
      <c r="S1988" s="1" t="s">
        <v>42</v>
      </c>
      <c r="T1988" s="1" t="s">
        <v>203</v>
      </c>
      <c r="U1988" s="1">
        <v>342</v>
      </c>
      <c r="V1988" s="5">
        <v>43272</v>
      </c>
      <c r="W1988" s="5">
        <v>42929</v>
      </c>
      <c r="X1988" s="1">
        <v>1505000</v>
      </c>
      <c r="Y1988" s="1">
        <v>1505000</v>
      </c>
      <c r="AA1988" s="1">
        <v>1532466.25</v>
      </c>
      <c r="AB1988" s="1" t="s">
        <v>1487</v>
      </c>
      <c r="AC1988" s="5">
        <v>43384</v>
      </c>
      <c r="AF1988" s="1">
        <v>10016</v>
      </c>
      <c r="AI1988" s="1" t="s">
        <v>1464</v>
      </c>
      <c r="AJ1988" s="1">
        <v>2018</v>
      </c>
      <c r="AK1988" s="1" t="s">
        <v>55</v>
      </c>
      <c r="AL1988" s="1">
        <v>74</v>
      </c>
    </row>
    <row r="1989" spans="1:38" x14ac:dyDescent="0.2">
      <c r="A1989" s="2" t="str">
        <f>HYPERLINK("https://www.compass.com/listing/591-3rd-avenue-unit-7d-manhattan-ny-10016/803396464885175545/","591 3rd Ave, Unit 7D")</f>
        <v>591 3rd Ave, Unit 7D</v>
      </c>
      <c r="B1989" s="2" t="str">
        <f t="shared" si="333"/>
        <v>The Lindley</v>
      </c>
      <c r="C1989" s="1" t="s">
        <v>165</v>
      </c>
      <c r="D1989" s="1" t="s">
        <v>41</v>
      </c>
      <c r="E1989" s="3">
        <v>1389911</v>
      </c>
      <c r="F1989" s="1">
        <v>1885.9040027137</v>
      </c>
      <c r="G1989" s="1">
        <v>3</v>
      </c>
      <c r="H1989" s="1">
        <v>1</v>
      </c>
      <c r="I1989" s="1">
        <v>1</v>
      </c>
      <c r="J1989" s="1">
        <v>1</v>
      </c>
      <c r="M1989" s="1">
        <v>737</v>
      </c>
      <c r="N1989" s="1">
        <v>1030</v>
      </c>
      <c r="O1989" s="1">
        <v>1417</v>
      </c>
      <c r="P1989" s="1">
        <v>387</v>
      </c>
      <c r="Q1989" s="1" t="s">
        <v>42</v>
      </c>
      <c r="S1989" s="1" t="s">
        <v>42</v>
      </c>
      <c r="T1989" s="1" t="s">
        <v>203</v>
      </c>
      <c r="U1989" s="1">
        <v>332</v>
      </c>
      <c r="V1989" s="5">
        <v>43272</v>
      </c>
      <c r="W1989" s="5">
        <v>42939</v>
      </c>
      <c r="X1989" s="1">
        <v>1365000</v>
      </c>
      <c r="Y1989" s="1">
        <v>1365000</v>
      </c>
      <c r="AA1989" s="1">
        <v>1389911.25</v>
      </c>
      <c r="AB1989" s="1" t="s">
        <v>1485</v>
      </c>
      <c r="AC1989" s="5">
        <v>43391</v>
      </c>
      <c r="AF1989" s="1">
        <v>10016</v>
      </c>
      <c r="AI1989" s="1" t="s">
        <v>1464</v>
      </c>
      <c r="AJ1989" s="1">
        <v>2018</v>
      </c>
      <c r="AK1989" s="1" t="s">
        <v>55</v>
      </c>
      <c r="AL1989" s="1">
        <v>74</v>
      </c>
    </row>
    <row r="1990" spans="1:38" x14ac:dyDescent="0.2">
      <c r="A1990" s="2" t="str">
        <f>HYPERLINK("https://www.compass.com/listing/215-west-122nd-street-unit-garden-manhattan-ny-10027/309372707757854881/","215 W 122nd St, Unit GARDEN")</f>
        <v>215 W 122nd St, Unit GARDEN</v>
      </c>
      <c r="B1990" s="2" t="str">
        <f>HYPERLINK("https://www.compass.com/building/215-w-122nd-st-manhattan-ny-10027/281980069470110005/","215 W 122nd St")</f>
        <v>215 W 122nd St</v>
      </c>
      <c r="C1990" s="1" t="s">
        <v>131</v>
      </c>
      <c r="D1990" s="1" t="s">
        <v>41</v>
      </c>
      <c r="E1990" s="3">
        <v>1210000</v>
      </c>
      <c r="F1990" s="1">
        <v>770.70063694267503</v>
      </c>
      <c r="G1990" s="1">
        <v>5</v>
      </c>
      <c r="H1990" s="1">
        <v>2</v>
      </c>
      <c r="I1990" s="1">
        <v>2</v>
      </c>
      <c r="J1990" s="1">
        <v>1.5</v>
      </c>
      <c r="K1990" s="1">
        <v>1</v>
      </c>
      <c r="L1990" s="1">
        <v>1</v>
      </c>
      <c r="M1990" s="4">
        <v>1570</v>
      </c>
      <c r="N1990" s="1">
        <v>777</v>
      </c>
      <c r="O1990" s="1">
        <v>2288</v>
      </c>
      <c r="P1990" s="1">
        <v>1511</v>
      </c>
      <c r="Q1990" s="1" t="s">
        <v>42</v>
      </c>
      <c r="S1990" s="1" t="s">
        <v>42</v>
      </c>
      <c r="T1990" s="1" t="s">
        <v>203</v>
      </c>
      <c r="U1990" s="1">
        <v>262</v>
      </c>
      <c r="V1990" s="5">
        <v>44117</v>
      </c>
      <c r="W1990" s="5">
        <v>43679</v>
      </c>
      <c r="X1990" s="1">
        <v>1649000</v>
      </c>
      <c r="Y1990" s="1">
        <v>1345000</v>
      </c>
      <c r="AA1990" s="1">
        <v>1210000</v>
      </c>
      <c r="AB1990" s="1" t="s">
        <v>204</v>
      </c>
      <c r="AC1990" s="5">
        <v>44035</v>
      </c>
      <c r="AF1990" s="1">
        <v>10027</v>
      </c>
      <c r="AI1990" s="1" t="s">
        <v>89</v>
      </c>
      <c r="AJ1990" s="1">
        <v>2018</v>
      </c>
      <c r="AK1990" s="1" t="s">
        <v>91</v>
      </c>
      <c r="AL1990" s="1">
        <v>6</v>
      </c>
    </row>
    <row r="1991" spans="1:38" x14ac:dyDescent="0.2">
      <c r="A1991" s="2" t="str">
        <f>HYPERLINK("https://www.compass.com/listing/591-3rd-avenue-unit-17c-manhattan-ny-10016/29509771388346529/","591 3rd Ave, Unit 17C")</f>
        <v>591 3rd Ave, Unit 17C</v>
      </c>
      <c r="B1991" s="2" t="str">
        <f>HYPERLINK("https://www.compass.com/building/the-lindley-manhattan-ny/282058799928343829/","The Lindley")</f>
        <v>The Lindley</v>
      </c>
      <c r="C1991" s="1" t="s">
        <v>165</v>
      </c>
      <c r="D1991" s="1" t="s">
        <v>41</v>
      </c>
      <c r="E1991" s="3">
        <v>1700478</v>
      </c>
      <c r="F1991" s="1">
        <v>1930.1679909193999</v>
      </c>
      <c r="G1991" s="1">
        <v>3</v>
      </c>
      <c r="H1991" s="1">
        <v>1</v>
      </c>
      <c r="I1991" s="1">
        <v>2</v>
      </c>
      <c r="J1991" s="1">
        <v>1.5</v>
      </c>
      <c r="K1991" s="1">
        <v>1</v>
      </c>
      <c r="L1991" s="1">
        <v>1</v>
      </c>
      <c r="M1991" s="1">
        <v>881</v>
      </c>
      <c r="N1991" s="1">
        <v>1284.79</v>
      </c>
      <c r="O1991" s="1">
        <v>1767.34</v>
      </c>
      <c r="P1991" s="1">
        <v>482.58333333333297</v>
      </c>
      <c r="Q1991" s="1" t="s">
        <v>42</v>
      </c>
      <c r="S1991" s="1" t="s">
        <v>42</v>
      </c>
      <c r="T1991" s="1" t="s">
        <v>203</v>
      </c>
      <c r="U1991" s="1">
        <v>8</v>
      </c>
      <c r="V1991" s="5">
        <v>43638</v>
      </c>
      <c r="W1991" s="5">
        <v>43168</v>
      </c>
      <c r="X1991" s="1">
        <v>1670000</v>
      </c>
      <c r="Y1991" s="1">
        <v>1670000</v>
      </c>
      <c r="Z1991" s="5">
        <v>43176</v>
      </c>
      <c r="AA1991" s="1">
        <v>1700478</v>
      </c>
      <c r="AB1991" s="1" t="s">
        <v>1523</v>
      </c>
      <c r="AC1991" s="5">
        <v>43411</v>
      </c>
      <c r="AF1991" s="1">
        <v>10016</v>
      </c>
      <c r="AI1991" s="1" t="s">
        <v>1464</v>
      </c>
      <c r="AJ1991" s="1">
        <v>2018</v>
      </c>
      <c r="AK1991" s="1" t="s">
        <v>87</v>
      </c>
      <c r="AL1991" s="1">
        <v>74</v>
      </c>
    </row>
    <row r="1992" spans="1:38" x14ac:dyDescent="0.2">
      <c r="A1992" s="2" t="str">
        <f>HYPERLINK("https://www.compass.com/listing/301-west-53rd-street-unit-20g-manhattan-ny-10019/95627382714553905/","301 W 53rd St, Unit 20G")</f>
        <v>301 W 53rd St, Unit 20G</v>
      </c>
      <c r="B1992" s="2" t="str">
        <f t="shared" ref="B1992:B1998" si="334">HYPERLINK("https://www.compass.com/building/fifty-third-and-eighth-manhattan-ny/281944545158031557/","Fifty Third and Eighth")</f>
        <v>Fifty Third and Eighth</v>
      </c>
      <c r="C1992" s="1" t="s">
        <v>57</v>
      </c>
      <c r="D1992" s="1" t="s">
        <v>41</v>
      </c>
      <c r="E1992" s="3">
        <v>950000</v>
      </c>
      <c r="F1992" s="1">
        <v>1401.17994100294</v>
      </c>
      <c r="G1992" s="1">
        <v>2</v>
      </c>
      <c r="H1992" s="1">
        <v>1</v>
      </c>
      <c r="I1992" s="1">
        <v>1</v>
      </c>
      <c r="J1992" s="1">
        <v>1</v>
      </c>
      <c r="M1992" s="1">
        <v>678</v>
      </c>
      <c r="N1992" s="1">
        <v>589</v>
      </c>
      <c r="O1992" s="1">
        <v>1551</v>
      </c>
      <c r="P1992" s="1">
        <v>962</v>
      </c>
      <c r="Q1992" s="1" t="s">
        <v>345</v>
      </c>
      <c r="S1992" s="1" t="s">
        <v>345</v>
      </c>
      <c r="T1992" s="1" t="s">
        <v>203</v>
      </c>
      <c r="U1992" s="1">
        <v>61</v>
      </c>
      <c r="V1992" s="5">
        <v>43671</v>
      </c>
      <c r="W1992" s="5">
        <v>43384</v>
      </c>
      <c r="X1992" s="1">
        <v>995000</v>
      </c>
      <c r="Y1992" s="1">
        <v>995000</v>
      </c>
      <c r="Z1992" s="5">
        <v>43445</v>
      </c>
      <c r="AA1992" s="1">
        <v>950000</v>
      </c>
      <c r="AB1992" s="1" t="s">
        <v>1524</v>
      </c>
      <c r="AC1992" s="5">
        <v>43476</v>
      </c>
      <c r="AF1992" s="1">
        <v>10019</v>
      </c>
      <c r="AI1992" s="1" t="s">
        <v>1525</v>
      </c>
      <c r="AJ1992" s="1">
        <v>2017</v>
      </c>
      <c r="AK1992" s="1" t="s">
        <v>50</v>
      </c>
      <c r="AL1992" s="1">
        <v>248</v>
      </c>
    </row>
    <row r="1993" spans="1:38" x14ac:dyDescent="0.2">
      <c r="A1993" s="2" t="str">
        <f>HYPERLINK("https://www.compass.com/listing/301-west-53rd-street-unit-4j-manhattan-ny-10019/29388110164988145/","301 W 53rd St, Unit 4J")</f>
        <v>301 W 53rd St, Unit 4J</v>
      </c>
      <c r="B1993" s="2" t="str">
        <f t="shared" si="334"/>
        <v>Fifty Third and Eighth</v>
      </c>
      <c r="C1993" s="1" t="s">
        <v>57</v>
      </c>
      <c r="D1993" s="1" t="s">
        <v>41</v>
      </c>
      <c r="E1993" s="3">
        <v>998776</v>
      </c>
      <c r="F1993" s="1">
        <v>1473.1209439528</v>
      </c>
      <c r="G1993" s="1">
        <v>3</v>
      </c>
      <c r="H1993" s="1">
        <v>1</v>
      </c>
      <c r="I1993" s="1">
        <v>1</v>
      </c>
      <c r="J1993" s="1">
        <v>1</v>
      </c>
      <c r="K1993" s="1">
        <v>1</v>
      </c>
      <c r="M1993" s="1">
        <v>678</v>
      </c>
      <c r="N1993" s="1">
        <v>560</v>
      </c>
      <c r="O1993" s="1">
        <v>1286</v>
      </c>
      <c r="P1993" s="1">
        <v>726</v>
      </c>
      <c r="Q1993" s="1" t="s">
        <v>42</v>
      </c>
      <c r="S1993" s="1" t="s">
        <v>42</v>
      </c>
      <c r="T1993" s="1" t="s">
        <v>203</v>
      </c>
      <c r="V1993" s="5">
        <v>44342</v>
      </c>
      <c r="W1993" s="5">
        <v>42354</v>
      </c>
      <c r="X1993" s="1">
        <v>973000</v>
      </c>
      <c r="Y1993" s="1">
        <v>973000</v>
      </c>
      <c r="Z1993" s="5">
        <v>42354</v>
      </c>
      <c r="AA1993" s="1">
        <v>998776</v>
      </c>
      <c r="AB1993" s="1" t="s">
        <v>1526</v>
      </c>
      <c r="AC1993" s="5">
        <v>42378</v>
      </c>
      <c r="AF1993" s="1">
        <v>10019</v>
      </c>
      <c r="AI1993" s="1" t="s">
        <v>76</v>
      </c>
      <c r="AJ1993" s="1">
        <v>2017</v>
      </c>
      <c r="AK1993" s="1" t="s">
        <v>50</v>
      </c>
      <c r="AL1993" s="1">
        <v>248</v>
      </c>
    </row>
    <row r="1994" spans="1:38" x14ac:dyDescent="0.2">
      <c r="A1994" s="2" t="str">
        <f>HYPERLINK("https://www.compass.com/listing/301-west-53rd-street-unit-7h-manhattan-ny-10019/29388122966012433/","301 W 53rd St, Unit 7H")</f>
        <v>301 W 53rd St, Unit 7H</v>
      </c>
      <c r="B1994" s="2" t="str">
        <f t="shared" si="334"/>
        <v>Fifty Third and Eighth</v>
      </c>
      <c r="C1994" s="1" t="s">
        <v>57</v>
      </c>
      <c r="D1994" s="1" t="s">
        <v>41</v>
      </c>
      <c r="E1994" s="3">
        <v>1002538</v>
      </c>
      <c r="F1994" s="1">
        <v>1503.05535232383</v>
      </c>
      <c r="G1994" s="1">
        <v>3</v>
      </c>
      <c r="H1994" s="1">
        <v>1</v>
      </c>
      <c r="I1994" s="1">
        <v>1</v>
      </c>
      <c r="J1994" s="1">
        <v>1</v>
      </c>
      <c r="M1994" s="1">
        <v>667</v>
      </c>
      <c r="N1994" s="1">
        <v>540</v>
      </c>
      <c r="O1994" s="1">
        <v>1317</v>
      </c>
      <c r="P1994" s="1">
        <v>777</v>
      </c>
      <c r="Q1994" s="1" t="s">
        <v>42</v>
      </c>
      <c r="S1994" s="1" t="s">
        <v>42</v>
      </c>
      <c r="T1994" s="1" t="s">
        <v>203</v>
      </c>
      <c r="U1994" s="1">
        <v>272</v>
      </c>
      <c r="V1994" s="5">
        <v>42391</v>
      </c>
      <c r="W1994" s="5">
        <v>42013</v>
      </c>
      <c r="X1994" s="1">
        <v>976000</v>
      </c>
      <c r="Y1994" s="1">
        <v>976000</v>
      </c>
      <c r="Z1994" s="5">
        <v>42292</v>
      </c>
      <c r="AA1994" s="1">
        <v>1002537.92</v>
      </c>
      <c r="AB1994" s="1" t="s">
        <v>1527</v>
      </c>
      <c r="AC1994" s="5">
        <v>42286</v>
      </c>
      <c r="AF1994" s="1">
        <v>10019</v>
      </c>
      <c r="AI1994" s="1" t="s">
        <v>76</v>
      </c>
      <c r="AJ1994" s="1">
        <v>2017</v>
      </c>
      <c r="AK1994" s="1" t="s">
        <v>50</v>
      </c>
      <c r="AL1994" s="1">
        <v>248</v>
      </c>
    </row>
    <row r="1995" spans="1:38" x14ac:dyDescent="0.2">
      <c r="A1995" s="2" t="str">
        <f>HYPERLINK("https://www.compass.com/listing/301-west-53rd-street-unit-11g-manhattan-ny-10019/29388139466404673/","301 W 53rd St, Unit 11G")</f>
        <v>301 W 53rd St, Unit 11G</v>
      </c>
      <c r="B1995" s="2" t="str">
        <f t="shared" si="334"/>
        <v>Fifty Third and Eighth</v>
      </c>
      <c r="C1995" s="1" t="s">
        <v>57</v>
      </c>
      <c r="D1995" s="1" t="s">
        <v>41</v>
      </c>
      <c r="E1995" s="3">
        <v>1002496</v>
      </c>
      <c r="F1995" s="1">
        <v>1478.6076696165101</v>
      </c>
      <c r="G1995" s="1">
        <v>3</v>
      </c>
      <c r="H1995" s="1">
        <v>1</v>
      </c>
      <c r="I1995" s="1">
        <v>1</v>
      </c>
      <c r="J1995" s="1">
        <v>1</v>
      </c>
      <c r="M1995" s="1">
        <v>678</v>
      </c>
      <c r="N1995" s="1">
        <v>579</v>
      </c>
      <c r="O1995" s="1">
        <v>1330</v>
      </c>
      <c r="P1995" s="1">
        <v>751</v>
      </c>
      <c r="Q1995" s="1" t="s">
        <v>42</v>
      </c>
      <c r="S1995" s="1" t="s">
        <v>42</v>
      </c>
      <c r="T1995" s="1" t="s">
        <v>203</v>
      </c>
      <c r="V1995" s="5">
        <v>43650</v>
      </c>
      <c r="W1995" s="5">
        <v>42307</v>
      </c>
      <c r="X1995" s="1">
        <v>980000</v>
      </c>
      <c r="Y1995" s="1">
        <v>980000</v>
      </c>
      <c r="Z1995" s="5">
        <v>42307</v>
      </c>
      <c r="AA1995" s="1">
        <v>1002496</v>
      </c>
      <c r="AB1995" s="1" t="s">
        <v>1528</v>
      </c>
      <c r="AC1995" s="5">
        <v>42356</v>
      </c>
      <c r="AF1995" s="1">
        <v>10019</v>
      </c>
      <c r="AI1995" s="1" t="s">
        <v>76</v>
      </c>
      <c r="AJ1995" s="1">
        <v>2017</v>
      </c>
      <c r="AK1995" s="1" t="s">
        <v>50</v>
      </c>
      <c r="AL1995" s="1">
        <v>248</v>
      </c>
    </row>
    <row r="1996" spans="1:38" x14ac:dyDescent="0.2">
      <c r="A1996" s="2" t="str">
        <f>HYPERLINK("https://www.compass.com/listing/301-west-53rd-street-unit-6i-manhattan-ny-10019/29388118536819041/","301 W 53rd St, Unit 6I")</f>
        <v>301 W 53rd St, Unit 6I</v>
      </c>
      <c r="B1996" s="2" t="str">
        <f t="shared" si="334"/>
        <v>Fifty Third and Eighth</v>
      </c>
      <c r="C1996" s="1" t="s">
        <v>57</v>
      </c>
      <c r="D1996" s="1" t="s">
        <v>41</v>
      </c>
      <c r="E1996" s="3">
        <v>1000784</v>
      </c>
      <c r="F1996" s="1">
        <v>1500.42590704647</v>
      </c>
      <c r="G1996" s="1">
        <v>3</v>
      </c>
      <c r="H1996" s="1">
        <v>1</v>
      </c>
      <c r="I1996" s="1">
        <v>1</v>
      </c>
      <c r="J1996" s="1">
        <v>1</v>
      </c>
      <c r="K1996" s="1">
        <v>1</v>
      </c>
      <c r="M1996" s="1">
        <v>667</v>
      </c>
      <c r="N1996" s="1">
        <v>538</v>
      </c>
      <c r="O1996" s="1">
        <v>1311</v>
      </c>
      <c r="P1996" s="1">
        <v>773</v>
      </c>
      <c r="Q1996" s="1" t="s">
        <v>42</v>
      </c>
      <c r="S1996" s="1" t="s">
        <v>42</v>
      </c>
      <c r="T1996" s="1" t="s">
        <v>203</v>
      </c>
      <c r="U1996" s="1">
        <v>222</v>
      </c>
      <c r="V1996" s="5">
        <v>44225</v>
      </c>
      <c r="W1996" s="5">
        <v>42013</v>
      </c>
      <c r="X1996" s="1">
        <v>975000</v>
      </c>
      <c r="Y1996" s="1">
        <v>975000</v>
      </c>
      <c r="AA1996" s="1">
        <v>1000784.08</v>
      </c>
      <c r="AB1996" s="1" t="s">
        <v>1529</v>
      </c>
      <c r="AC1996" s="5">
        <v>42320</v>
      </c>
      <c r="AF1996" s="1">
        <v>10019</v>
      </c>
      <c r="AI1996" s="1" t="s">
        <v>76</v>
      </c>
      <c r="AJ1996" s="1">
        <v>2017</v>
      </c>
      <c r="AK1996" s="1" t="s">
        <v>50</v>
      </c>
      <c r="AL1996" s="1">
        <v>248</v>
      </c>
    </row>
    <row r="1997" spans="1:38" x14ac:dyDescent="0.2">
      <c r="A1997" s="2" t="str">
        <f>HYPERLINK("https://www.compass.com/listing/301-west-53rd-street-unit-6i-manhattan-ny-10019/181044135749319489/","301 W 53rd St, Unit 6I")</f>
        <v>301 W 53rd St, Unit 6I</v>
      </c>
      <c r="B1997" s="2" t="str">
        <f t="shared" si="334"/>
        <v>Fifty Third and Eighth</v>
      </c>
      <c r="C1997" s="1" t="s">
        <v>57</v>
      </c>
      <c r="D1997" s="1" t="s">
        <v>41</v>
      </c>
      <c r="E1997" s="3">
        <v>1000784</v>
      </c>
      <c r="F1997" s="1">
        <v>1500.4257871064401</v>
      </c>
      <c r="G1997" s="1">
        <v>3</v>
      </c>
      <c r="H1997" s="1">
        <v>1</v>
      </c>
      <c r="I1997" s="1">
        <v>1</v>
      </c>
      <c r="J1997" s="1">
        <v>1</v>
      </c>
      <c r="K1997" s="1">
        <v>1</v>
      </c>
      <c r="M1997" s="1">
        <v>667</v>
      </c>
      <c r="N1997" s="1">
        <v>556</v>
      </c>
      <c r="O1997" s="1">
        <v>1277</v>
      </c>
      <c r="P1997" s="1">
        <v>721</v>
      </c>
      <c r="Q1997" s="1" t="s">
        <v>42</v>
      </c>
      <c r="S1997" s="1" t="s">
        <v>42</v>
      </c>
      <c r="T1997" s="1" t="s">
        <v>203</v>
      </c>
      <c r="V1997" s="5">
        <v>44225</v>
      </c>
      <c r="W1997" s="5">
        <v>42278</v>
      </c>
      <c r="X1997" s="1">
        <v>975000</v>
      </c>
      <c r="Y1997" s="1">
        <v>975000</v>
      </c>
      <c r="Z1997" s="5">
        <v>42278</v>
      </c>
      <c r="AA1997" s="1">
        <v>1000784</v>
      </c>
      <c r="AB1997" s="1" t="s">
        <v>1529</v>
      </c>
      <c r="AC1997" s="5">
        <v>42321</v>
      </c>
      <c r="AF1997" s="1">
        <v>10019</v>
      </c>
      <c r="AI1997" s="1" t="s">
        <v>76</v>
      </c>
      <c r="AJ1997" s="1">
        <v>2017</v>
      </c>
      <c r="AK1997" s="1" t="s">
        <v>50</v>
      </c>
      <c r="AL1997" s="1">
        <v>248</v>
      </c>
    </row>
    <row r="1998" spans="1:38" x14ac:dyDescent="0.2">
      <c r="A1998" s="2" t="str">
        <f>HYPERLINK("https://www.compass.com/listing/301-west-53rd-street-unit-15h-manhattan-ny-10019/29388155664743025/","301 W 53rd St, Unit 15H")</f>
        <v>301 W 53rd St, Unit 15H</v>
      </c>
      <c r="B1998" s="2" t="str">
        <f t="shared" si="334"/>
        <v>Fifty Third and Eighth</v>
      </c>
      <c r="C1998" s="1" t="s">
        <v>57</v>
      </c>
      <c r="D1998" s="1" t="s">
        <v>41</v>
      </c>
      <c r="E1998" s="3">
        <v>1017782</v>
      </c>
      <c r="F1998" s="1">
        <v>1525.9100449775101</v>
      </c>
      <c r="G1998" s="1">
        <v>3</v>
      </c>
      <c r="H1998" s="1">
        <v>1</v>
      </c>
      <c r="I1998" s="1">
        <v>1</v>
      </c>
      <c r="J1998" s="1">
        <v>1</v>
      </c>
      <c r="M1998" s="1">
        <v>667</v>
      </c>
      <c r="N1998" s="1">
        <v>567</v>
      </c>
      <c r="O1998" s="1">
        <v>1593</v>
      </c>
      <c r="P1998" s="1">
        <v>1026</v>
      </c>
      <c r="Q1998" s="1" t="s">
        <v>42</v>
      </c>
      <c r="S1998" s="1" t="s">
        <v>42</v>
      </c>
      <c r="T1998" s="1" t="s">
        <v>203</v>
      </c>
      <c r="U1998" s="1">
        <v>495</v>
      </c>
      <c r="V1998" s="5">
        <v>43662</v>
      </c>
      <c r="W1998" s="5">
        <v>42419</v>
      </c>
      <c r="X1998" s="1">
        <v>1185000</v>
      </c>
      <c r="Y1998" s="1">
        <v>1185000</v>
      </c>
      <c r="AA1998" s="1">
        <v>1017782</v>
      </c>
      <c r="AB1998" s="1" t="s">
        <v>1530</v>
      </c>
      <c r="AC1998" s="5">
        <v>42915</v>
      </c>
      <c r="AF1998" s="1">
        <v>10019</v>
      </c>
      <c r="AI1998" s="1" t="s">
        <v>76</v>
      </c>
      <c r="AJ1998" s="1">
        <v>2017</v>
      </c>
      <c r="AK1998" s="1" t="s">
        <v>81</v>
      </c>
      <c r="AL1998" s="1">
        <v>248</v>
      </c>
    </row>
    <row r="1999" spans="1:38" x14ac:dyDescent="0.2">
      <c r="A1999" s="2" t="str">
        <f>HYPERLINK("https://www.compass.com/listing/215-west-122nd-street-unit-3-manhattan-ny-10027/309372701273493969/","215 W 122nd St, Unit 3")</f>
        <v>215 W 122nd St, Unit 3</v>
      </c>
      <c r="B1999" s="2" t="str">
        <f>HYPERLINK("https://www.compass.com/building/215-w-122nd-st-manhattan-ny-10027/281980069470110005/","215 W 122nd St")</f>
        <v>215 W 122nd St</v>
      </c>
      <c r="C1999" s="1" t="s">
        <v>131</v>
      </c>
      <c r="D1999" s="1" t="s">
        <v>41</v>
      </c>
      <c r="E1999" s="3">
        <v>1195000</v>
      </c>
      <c r="F1999" s="1">
        <v>1042.7574171029601</v>
      </c>
      <c r="G1999" s="1">
        <v>4.5</v>
      </c>
      <c r="H1999" s="1">
        <v>2</v>
      </c>
      <c r="I1999" s="1">
        <v>2</v>
      </c>
      <c r="J1999" s="1">
        <v>2</v>
      </c>
      <c r="K1999" s="1">
        <v>2</v>
      </c>
      <c r="M1999" s="4">
        <v>1146</v>
      </c>
      <c r="N1999" s="1">
        <v>708</v>
      </c>
      <c r="O1999" s="1">
        <v>2086</v>
      </c>
      <c r="P1999" s="1">
        <v>1378</v>
      </c>
      <c r="Q1999" s="1" t="s">
        <v>42</v>
      </c>
      <c r="S1999" s="1" t="s">
        <v>42</v>
      </c>
      <c r="T1999" s="1" t="s">
        <v>203</v>
      </c>
      <c r="U1999" s="1">
        <v>67</v>
      </c>
      <c r="V1999" s="5">
        <v>44065</v>
      </c>
      <c r="W1999" s="5">
        <v>43679</v>
      </c>
      <c r="X1999" s="1">
        <v>1289000</v>
      </c>
      <c r="Y1999" s="1">
        <v>1195000</v>
      </c>
      <c r="Z1999" s="5">
        <v>43747</v>
      </c>
      <c r="AA1999" s="1">
        <v>1195000</v>
      </c>
      <c r="AB1999" s="1" t="s">
        <v>1531</v>
      </c>
      <c r="AC1999" s="5">
        <v>43804</v>
      </c>
      <c r="AF1999" s="1">
        <v>10027</v>
      </c>
      <c r="AI1999" s="1" t="s">
        <v>1270</v>
      </c>
      <c r="AJ1999" s="1">
        <v>2018</v>
      </c>
      <c r="AK1999" s="1" t="s">
        <v>91</v>
      </c>
      <c r="AL1999" s="1">
        <v>6</v>
      </c>
    </row>
    <row r="2000" spans="1:38" x14ac:dyDescent="0.2">
      <c r="A2000" s="2" t="str">
        <f>HYPERLINK("https://www.compass.com/listing/40-pinehurst-avenue-unit-5c-manhattan-ny-10033/354445171442956609/","40 Pinehurst Ave, Unit 5C")</f>
        <v>40 Pinehurst Ave, Unit 5C</v>
      </c>
      <c r="B2000" s="2" t="str">
        <f t="shared" ref="B2000:B2002" si="335">HYPERLINK("https://www.compass.com/building/the-ammann-manhattan-ny/282011498950165109/","The Ammann")</f>
        <v>The Ammann</v>
      </c>
      <c r="C2000" s="1" t="s">
        <v>164</v>
      </c>
      <c r="D2000" s="1" t="s">
        <v>41</v>
      </c>
      <c r="E2000" s="3">
        <v>697501</v>
      </c>
      <c r="F2000" s="1">
        <v>1074.73189522342</v>
      </c>
      <c r="G2000" s="1">
        <v>3</v>
      </c>
      <c r="H2000" s="1">
        <v>1</v>
      </c>
      <c r="I2000" s="1">
        <v>1</v>
      </c>
      <c r="J2000" s="1">
        <v>1</v>
      </c>
      <c r="K2000" s="1">
        <v>1</v>
      </c>
      <c r="M2000" s="1">
        <v>649</v>
      </c>
      <c r="N2000" s="1">
        <v>302.27999999999997</v>
      </c>
      <c r="O2000" s="1">
        <v>469.54999999999899</v>
      </c>
      <c r="P2000" s="1">
        <v>167.25</v>
      </c>
      <c r="Q2000" s="1" t="s">
        <v>42</v>
      </c>
      <c r="S2000" s="1" t="s">
        <v>42</v>
      </c>
      <c r="T2000" s="1" t="s">
        <v>203</v>
      </c>
      <c r="U2000" s="1">
        <v>75</v>
      </c>
      <c r="V2000" s="5">
        <v>43846</v>
      </c>
      <c r="W2000" s="5">
        <v>43741</v>
      </c>
      <c r="X2000" s="1">
        <v>688000</v>
      </c>
      <c r="Y2000" s="1">
        <v>688000</v>
      </c>
      <c r="Z2000" s="5">
        <v>43816</v>
      </c>
      <c r="AA2000" s="1">
        <v>697501</v>
      </c>
      <c r="AB2000" s="1" t="s">
        <v>1532</v>
      </c>
      <c r="AC2000" s="5">
        <v>43820</v>
      </c>
      <c r="AF2000" s="1">
        <v>10033</v>
      </c>
      <c r="AI2000" s="1" t="s">
        <v>97</v>
      </c>
      <c r="AJ2000" s="1">
        <v>2018</v>
      </c>
      <c r="AL2000" s="1">
        <v>24</v>
      </c>
    </row>
    <row r="2001" spans="1:38" x14ac:dyDescent="0.2">
      <c r="A2001" s="2" t="str">
        <f>HYPERLINK("https://www.compass.com/listing/40-pinehurst-avenue-unit-2b-manhattan-ny-10033/339092548874081777/","40 Pinehurst Ave, Unit 2B")</f>
        <v>40 Pinehurst Ave, Unit 2B</v>
      </c>
      <c r="B2001" s="2" t="str">
        <f t="shared" si="335"/>
        <v>The Ammann</v>
      </c>
      <c r="C2001" s="1" t="s">
        <v>164</v>
      </c>
      <c r="D2001" s="1" t="s">
        <v>41</v>
      </c>
      <c r="E2001" s="3">
        <v>619096</v>
      </c>
      <c r="F2001" s="1">
        <v>953.92295839753399</v>
      </c>
      <c r="G2001" s="1">
        <v>3</v>
      </c>
      <c r="H2001" s="1">
        <v>1</v>
      </c>
      <c r="I2001" s="1">
        <v>1</v>
      </c>
      <c r="J2001" s="1">
        <v>1</v>
      </c>
      <c r="K2001" s="1">
        <v>1</v>
      </c>
      <c r="M2001" s="1">
        <v>649</v>
      </c>
      <c r="N2001" s="1">
        <v>279.10000000000002</v>
      </c>
      <c r="O2001" s="1">
        <v>433.54</v>
      </c>
      <c r="P2001" s="1">
        <v>154.416666666666</v>
      </c>
      <c r="Q2001" s="1" t="s">
        <v>42</v>
      </c>
      <c r="S2001" s="1" t="s">
        <v>42</v>
      </c>
      <c r="T2001" s="1" t="s">
        <v>203</v>
      </c>
      <c r="U2001" s="1">
        <v>465</v>
      </c>
      <c r="V2001" s="5">
        <v>43816</v>
      </c>
      <c r="W2001" s="5">
        <v>43326</v>
      </c>
      <c r="X2001" s="1">
        <v>598000</v>
      </c>
      <c r="Y2001" s="1">
        <v>619096</v>
      </c>
      <c r="AA2001" s="1">
        <v>619096</v>
      </c>
      <c r="AB2001" s="1" t="s">
        <v>1533</v>
      </c>
      <c r="AC2001" s="5">
        <v>43791</v>
      </c>
      <c r="AF2001" s="1">
        <v>10033</v>
      </c>
      <c r="AI2001" s="1" t="s">
        <v>1534</v>
      </c>
      <c r="AJ2001" s="1">
        <v>2018</v>
      </c>
      <c r="AL2001" s="1">
        <v>24</v>
      </c>
    </row>
    <row r="2002" spans="1:38" x14ac:dyDescent="0.2">
      <c r="A2002" s="2" t="str">
        <f>HYPERLINK("https://www.compass.com/listing/40-pinehurst-avenue-unit-3d-manhattan-ny-10033/314310106472673489/","40 Pinehurst Ave, Unit 3D")</f>
        <v>40 Pinehurst Ave, Unit 3D</v>
      </c>
      <c r="B2002" s="2" t="str">
        <f t="shared" si="335"/>
        <v>The Ammann</v>
      </c>
      <c r="C2002" s="1" t="s">
        <v>164</v>
      </c>
      <c r="D2002" s="1" t="s">
        <v>41</v>
      </c>
      <c r="E2002" s="3">
        <v>845148</v>
      </c>
      <c r="F2002" s="1">
        <v>980.44953596287701</v>
      </c>
      <c r="G2002" s="1">
        <v>4</v>
      </c>
      <c r="H2002" s="1">
        <v>2</v>
      </c>
      <c r="I2002" s="1">
        <v>2</v>
      </c>
      <c r="J2002" s="1">
        <v>1.5</v>
      </c>
      <c r="K2002" s="1">
        <v>1</v>
      </c>
      <c r="L2002" s="1">
        <v>1</v>
      </c>
      <c r="M2002" s="1">
        <v>862</v>
      </c>
      <c r="N2002" s="1">
        <v>377.84</v>
      </c>
      <c r="O2002" s="1">
        <v>586.92999999999995</v>
      </c>
      <c r="P2002" s="1">
        <v>209.083333333333</v>
      </c>
      <c r="Q2002" s="1" t="s">
        <v>42</v>
      </c>
      <c r="S2002" s="1" t="s">
        <v>42</v>
      </c>
      <c r="T2002" s="1" t="s">
        <v>203</v>
      </c>
      <c r="U2002" s="1">
        <v>14</v>
      </c>
      <c r="V2002" s="5">
        <v>43767</v>
      </c>
      <c r="W2002" s="5">
        <v>43685</v>
      </c>
      <c r="X2002" s="1">
        <v>838000</v>
      </c>
      <c r="Y2002" s="1">
        <v>838000</v>
      </c>
      <c r="Z2002" s="5">
        <v>43699</v>
      </c>
      <c r="AA2002" s="1">
        <v>845147.5</v>
      </c>
      <c r="AB2002" s="1" t="s">
        <v>1535</v>
      </c>
      <c r="AC2002" s="5">
        <v>43753</v>
      </c>
      <c r="AF2002" s="1">
        <v>10033</v>
      </c>
      <c r="AI2002" s="1" t="s">
        <v>97</v>
      </c>
      <c r="AJ2002" s="1">
        <v>2018</v>
      </c>
      <c r="AL2002" s="1">
        <v>24</v>
      </c>
    </row>
    <row r="2003" spans="1:38" x14ac:dyDescent="0.2">
      <c r="A2003" s="2" t="str">
        <f>HYPERLINK("https://www.compass.com/listing/301-west-53rd-street-unit-16i-manhattan-ny-10019/29388160244987073/","301 W 53rd St, Unit 16I")</f>
        <v>301 W 53rd St, Unit 16I</v>
      </c>
      <c r="B2003" s="2" t="str">
        <f t="shared" ref="B2003:B2005" si="336">HYPERLINK("https://www.compass.com/building/fifty-third-and-eighth-manhattan-ny/281944545158031557/","Fifty Third and Eighth")</f>
        <v>Fifty Third and Eighth</v>
      </c>
      <c r="C2003" s="1" t="s">
        <v>57</v>
      </c>
      <c r="D2003" s="1" t="s">
        <v>41</v>
      </c>
      <c r="E2003" s="3">
        <v>1089648</v>
      </c>
      <c r="F2003" s="1">
        <v>1633.6551724137901</v>
      </c>
      <c r="G2003" s="1">
        <v>3</v>
      </c>
      <c r="H2003" s="1">
        <v>1</v>
      </c>
      <c r="I2003" s="1">
        <v>1</v>
      </c>
      <c r="J2003" s="1">
        <v>1</v>
      </c>
      <c r="K2003" s="1">
        <v>1</v>
      </c>
      <c r="M2003" s="1">
        <v>667</v>
      </c>
      <c r="N2003" s="1">
        <v>570</v>
      </c>
      <c r="O2003" s="1">
        <v>1719</v>
      </c>
      <c r="P2003" s="1">
        <v>1149</v>
      </c>
      <c r="Q2003" s="1" t="s">
        <v>42</v>
      </c>
      <c r="S2003" s="1" t="s">
        <v>42</v>
      </c>
      <c r="T2003" s="1" t="s">
        <v>203</v>
      </c>
      <c r="U2003" s="1">
        <v>78</v>
      </c>
      <c r="V2003" s="5">
        <v>44427</v>
      </c>
      <c r="W2003" s="5">
        <v>43036</v>
      </c>
      <c r="X2003" s="1">
        <v>1190000</v>
      </c>
      <c r="Y2003" s="1">
        <v>1190000</v>
      </c>
      <c r="Z2003" s="5">
        <v>43114</v>
      </c>
      <c r="AA2003" s="1">
        <v>1089648</v>
      </c>
      <c r="AB2003" s="1" t="s">
        <v>1536</v>
      </c>
      <c r="AC2003" s="5">
        <v>43147</v>
      </c>
      <c r="AF2003" s="1">
        <v>10019</v>
      </c>
      <c r="AI2003" s="1" t="s">
        <v>76</v>
      </c>
      <c r="AJ2003" s="1">
        <v>2017</v>
      </c>
      <c r="AK2003" s="1" t="s">
        <v>50</v>
      </c>
      <c r="AL2003" s="1">
        <v>248</v>
      </c>
    </row>
    <row r="2004" spans="1:38" x14ac:dyDescent="0.2">
      <c r="A2004" s="2" t="str">
        <f>HYPERLINK("https://www.compass.com/listing/301-west-53rd-street-unit-5j-manhattan-ny-10019/29388114904551713/","301 W 53rd St, Unit 5J")</f>
        <v>301 W 53rd St, Unit 5J</v>
      </c>
      <c r="B2004" s="2" t="str">
        <f t="shared" si="336"/>
        <v>Fifty Third and Eighth</v>
      </c>
      <c r="C2004" s="1" t="s">
        <v>57</v>
      </c>
      <c r="D2004" s="1" t="s">
        <v>41</v>
      </c>
      <c r="E2004" s="3">
        <v>999817</v>
      </c>
      <c r="F2004" s="1">
        <v>1474.6557227138601</v>
      </c>
      <c r="G2004" s="1">
        <v>3</v>
      </c>
      <c r="H2004" s="1">
        <v>1</v>
      </c>
      <c r="I2004" s="1">
        <v>1</v>
      </c>
      <c r="J2004" s="1">
        <v>1</v>
      </c>
      <c r="K2004" s="1">
        <v>1</v>
      </c>
      <c r="M2004" s="1">
        <v>678</v>
      </c>
      <c r="N2004" s="1">
        <v>544</v>
      </c>
      <c r="O2004" s="1">
        <v>1326</v>
      </c>
      <c r="P2004" s="1">
        <v>782</v>
      </c>
      <c r="Q2004" s="1" t="s">
        <v>42</v>
      </c>
      <c r="S2004" s="1" t="s">
        <v>42</v>
      </c>
      <c r="T2004" s="1" t="s">
        <v>203</v>
      </c>
      <c r="V2004" s="5">
        <v>44225</v>
      </c>
      <c r="AA2004" s="1">
        <v>999816.58</v>
      </c>
      <c r="AB2004" s="1" t="s">
        <v>1537</v>
      </c>
      <c r="AC2004" s="5">
        <v>42384</v>
      </c>
      <c r="AF2004" s="1">
        <v>10019</v>
      </c>
      <c r="AI2004" s="1" t="s">
        <v>76</v>
      </c>
      <c r="AJ2004" s="1">
        <v>2017</v>
      </c>
      <c r="AK2004" s="1" t="s">
        <v>50</v>
      </c>
      <c r="AL2004" s="1">
        <v>248</v>
      </c>
    </row>
    <row r="2005" spans="1:38" x14ac:dyDescent="0.2">
      <c r="A2005" s="2" t="str">
        <f>HYPERLINK("https://www.compass.com/listing/301-west-53rd-street-unit-8h-manhattan-ny-10019/29388127294525985/","301 W 53rd St, Unit 8H")</f>
        <v>301 W 53rd St, Unit 8H</v>
      </c>
      <c r="B2005" s="2" t="str">
        <f t="shared" si="336"/>
        <v>Fifty Third and Eighth</v>
      </c>
      <c r="C2005" s="1" t="s">
        <v>57</v>
      </c>
      <c r="D2005" s="1" t="s">
        <v>41</v>
      </c>
      <c r="E2005" s="3">
        <v>999300</v>
      </c>
      <c r="F2005" s="1">
        <v>1498.2008095952001</v>
      </c>
      <c r="G2005" s="1">
        <v>3</v>
      </c>
      <c r="H2005" s="1">
        <v>1</v>
      </c>
      <c r="I2005" s="1">
        <v>1</v>
      </c>
      <c r="J2005" s="1">
        <v>1</v>
      </c>
      <c r="M2005" s="1">
        <v>667</v>
      </c>
      <c r="N2005" s="1">
        <v>562</v>
      </c>
      <c r="O2005" s="1">
        <v>1290</v>
      </c>
      <c r="P2005" s="1">
        <v>728</v>
      </c>
      <c r="Q2005" s="1" t="s">
        <v>42</v>
      </c>
      <c r="S2005" s="1" t="s">
        <v>42</v>
      </c>
      <c r="T2005" s="1" t="s">
        <v>203</v>
      </c>
      <c r="U2005" s="1">
        <v>249</v>
      </c>
      <c r="V2005" s="5">
        <v>42872</v>
      </c>
      <c r="W2005" s="5">
        <v>42013</v>
      </c>
      <c r="X2005" s="1">
        <v>977000</v>
      </c>
      <c r="Y2005" s="1">
        <v>977000</v>
      </c>
      <c r="AA2005" s="1">
        <v>999299.94</v>
      </c>
      <c r="AB2005" s="1" t="s">
        <v>1538</v>
      </c>
      <c r="AC2005" s="5">
        <v>42263</v>
      </c>
      <c r="AF2005" s="1">
        <v>10019</v>
      </c>
      <c r="AI2005" s="1" t="s">
        <v>153</v>
      </c>
      <c r="AJ2005" s="1">
        <v>2017</v>
      </c>
      <c r="AK2005" s="1" t="s">
        <v>50</v>
      </c>
      <c r="AL2005" s="1">
        <v>248</v>
      </c>
    </row>
    <row r="2006" spans="1:38" x14ac:dyDescent="0.2">
      <c r="A2006" s="2" t="str">
        <f>HYPERLINK("https://www.compass.com/listing/40-pinehurst-avenue-unit-4c-manhattan-ny-10033/324146631356333761/","40 Pinehurst Ave, Unit 4C")</f>
        <v>40 Pinehurst Ave, Unit 4C</v>
      </c>
      <c r="B2006" s="2" t="str">
        <f>HYPERLINK("https://www.compass.com/building/the-ammann-manhattan-ny/282011498950165109/","The Ammann")</f>
        <v>The Ammann</v>
      </c>
      <c r="C2006" s="1" t="s">
        <v>164</v>
      </c>
      <c r="D2006" s="1" t="s">
        <v>41</v>
      </c>
      <c r="E2006" s="3">
        <v>659826</v>
      </c>
      <c r="F2006" s="1">
        <v>1016.68104776579</v>
      </c>
      <c r="G2006" s="1">
        <v>3</v>
      </c>
      <c r="H2006" s="1">
        <v>1</v>
      </c>
      <c r="I2006" s="1">
        <v>1</v>
      </c>
      <c r="J2006" s="1">
        <v>1</v>
      </c>
      <c r="K2006" s="1">
        <v>1</v>
      </c>
      <c r="M2006" s="1">
        <v>649</v>
      </c>
      <c r="N2006" s="1">
        <v>294.20999999999998</v>
      </c>
      <c r="O2006" s="1">
        <v>457.01</v>
      </c>
      <c r="P2006" s="1">
        <v>162.833333333333</v>
      </c>
      <c r="Q2006" s="1" t="s">
        <v>42</v>
      </c>
      <c r="S2006" s="1" t="s">
        <v>42</v>
      </c>
      <c r="T2006" s="1" t="s">
        <v>203</v>
      </c>
      <c r="U2006" s="1">
        <v>43</v>
      </c>
      <c r="V2006" s="5">
        <v>43802</v>
      </c>
      <c r="W2006" s="5">
        <v>43699</v>
      </c>
      <c r="X2006" s="1">
        <v>658000</v>
      </c>
      <c r="Y2006" s="1">
        <v>658000</v>
      </c>
      <c r="Z2006" s="5">
        <v>43742</v>
      </c>
      <c r="AA2006" s="1">
        <v>659826</v>
      </c>
      <c r="AB2006" s="1" t="s">
        <v>1539</v>
      </c>
      <c r="AC2006" s="5">
        <v>43787</v>
      </c>
      <c r="AF2006" s="1">
        <v>10033</v>
      </c>
      <c r="AI2006" s="1" t="s">
        <v>97</v>
      </c>
      <c r="AJ2006" s="1">
        <v>2018</v>
      </c>
      <c r="AL2006" s="1">
        <v>24</v>
      </c>
    </row>
    <row r="2007" spans="1:38" x14ac:dyDescent="0.2">
      <c r="A2007" s="2" t="str">
        <f>HYPERLINK("https://www.compass.com/listing/301-west-53rd-street-unit-6j-manhattan-ny-10019/841256233188446201/","301 W 53rd St, Unit 6J")</f>
        <v>301 W 53rd St, Unit 6J</v>
      </c>
      <c r="B2007" s="2" t="str">
        <f t="shared" ref="B2007:B2011" si="337">HYPERLINK("https://www.compass.com/building/fifty-third-and-eighth-manhattan-ny/281944545158031557/","Fifty Third and Eighth")</f>
        <v>Fifty Third and Eighth</v>
      </c>
      <c r="C2007" s="1" t="s">
        <v>57</v>
      </c>
      <c r="D2007" s="1" t="s">
        <v>41</v>
      </c>
      <c r="E2007" s="3">
        <v>997293</v>
      </c>
      <c r="F2007" s="1">
        <v>1470.93351032448</v>
      </c>
      <c r="G2007" s="1">
        <v>3</v>
      </c>
      <c r="H2007" s="1">
        <v>1</v>
      </c>
      <c r="I2007" s="1">
        <v>1</v>
      </c>
      <c r="J2007" s="1">
        <v>1</v>
      </c>
      <c r="M2007" s="1">
        <v>678</v>
      </c>
      <c r="N2007" s="1">
        <v>565</v>
      </c>
      <c r="O2007" s="1">
        <v>1298</v>
      </c>
      <c r="P2007" s="1">
        <v>733</v>
      </c>
      <c r="Q2007" s="1" t="s">
        <v>42</v>
      </c>
      <c r="S2007" s="1" t="s">
        <v>42</v>
      </c>
      <c r="T2007" s="1" t="s">
        <v>203</v>
      </c>
      <c r="U2007" s="1">
        <v>76</v>
      </c>
      <c r="V2007" s="5">
        <v>42212</v>
      </c>
      <c r="W2007" s="5">
        <v>42109</v>
      </c>
      <c r="X2007" s="1">
        <v>975000</v>
      </c>
      <c r="Y2007" s="1">
        <v>975000</v>
      </c>
      <c r="AA2007" s="1">
        <v>997292.92</v>
      </c>
      <c r="AB2007" s="1" t="s">
        <v>1540</v>
      </c>
      <c r="AC2007" s="5">
        <v>42268</v>
      </c>
      <c r="AF2007" s="1">
        <v>10019</v>
      </c>
      <c r="AI2007" s="1" t="s">
        <v>76</v>
      </c>
      <c r="AJ2007" s="1">
        <v>2017</v>
      </c>
      <c r="AK2007" s="1" t="s">
        <v>81</v>
      </c>
      <c r="AL2007" s="1">
        <v>248</v>
      </c>
    </row>
    <row r="2008" spans="1:38" x14ac:dyDescent="0.2">
      <c r="A2008" s="2" t="str">
        <f>HYPERLINK("https://www.compass.com/listing/301-west-53rd-street-unit-8g-manhattan-ny-10019/29388126916982657/","301 W 53rd St, Unit 8G")</f>
        <v>301 W 53rd St, Unit 8G</v>
      </c>
      <c r="B2008" s="2" t="str">
        <f t="shared" si="337"/>
        <v>Fifty Third and Eighth</v>
      </c>
      <c r="C2008" s="1" t="s">
        <v>57</v>
      </c>
      <c r="D2008" s="1" t="s">
        <v>41</v>
      </c>
      <c r="E2008" s="3">
        <v>999373</v>
      </c>
      <c r="F2008" s="1">
        <v>1474.00147492625</v>
      </c>
      <c r="G2008" s="1">
        <v>3</v>
      </c>
      <c r="H2008" s="1">
        <v>1</v>
      </c>
      <c r="I2008" s="1">
        <v>1</v>
      </c>
      <c r="J2008" s="1">
        <v>1</v>
      </c>
      <c r="M2008" s="1">
        <v>678</v>
      </c>
      <c r="N2008" s="1">
        <v>571</v>
      </c>
      <c r="O2008" s="1">
        <v>1311</v>
      </c>
      <c r="P2008" s="1">
        <v>740</v>
      </c>
      <c r="Q2008" s="1" t="s">
        <v>42</v>
      </c>
      <c r="S2008" s="1" t="s">
        <v>42</v>
      </c>
      <c r="T2008" s="1" t="s">
        <v>203</v>
      </c>
      <c r="U2008" s="1">
        <v>158</v>
      </c>
      <c r="V2008" s="5">
        <v>43651</v>
      </c>
      <c r="W2008" s="5">
        <v>42111</v>
      </c>
      <c r="X2008" s="1">
        <v>977000</v>
      </c>
      <c r="Y2008" s="1">
        <v>977000</v>
      </c>
      <c r="AA2008" s="1">
        <v>999373</v>
      </c>
      <c r="AB2008" s="1" t="s">
        <v>1541</v>
      </c>
      <c r="AC2008" s="5">
        <v>42270</v>
      </c>
      <c r="AF2008" s="1">
        <v>10019</v>
      </c>
      <c r="AI2008" s="1" t="s">
        <v>76</v>
      </c>
      <c r="AJ2008" s="1">
        <v>2017</v>
      </c>
      <c r="AK2008" s="1" t="s">
        <v>81</v>
      </c>
      <c r="AL2008" s="1">
        <v>248</v>
      </c>
    </row>
    <row r="2009" spans="1:38" x14ac:dyDescent="0.2">
      <c r="A2009" s="2" t="str">
        <f>HYPERLINK("https://www.compass.com/listing/301-west-53rd-street-unit-8i-manhattan-ny-10019/29388127747519105/","301 W 53rd St, Unit 8I")</f>
        <v>301 W 53rd St, Unit 8I</v>
      </c>
      <c r="B2009" s="2" t="str">
        <f t="shared" si="337"/>
        <v>Fifty Third and Eighth</v>
      </c>
      <c r="C2009" s="1" t="s">
        <v>57</v>
      </c>
      <c r="D2009" s="1" t="s">
        <v>41</v>
      </c>
      <c r="E2009" s="3">
        <v>999300</v>
      </c>
      <c r="F2009" s="1">
        <v>1495.95808383233</v>
      </c>
      <c r="G2009" s="1">
        <v>3</v>
      </c>
      <c r="H2009" s="1">
        <v>1</v>
      </c>
      <c r="I2009" s="1">
        <v>1</v>
      </c>
      <c r="J2009" s="1">
        <v>1</v>
      </c>
      <c r="K2009" s="1">
        <v>1</v>
      </c>
      <c r="M2009" s="1">
        <v>668</v>
      </c>
      <c r="N2009" s="1">
        <v>562</v>
      </c>
      <c r="O2009" s="1">
        <v>1290</v>
      </c>
      <c r="P2009" s="1">
        <v>728</v>
      </c>
      <c r="Q2009" s="1" t="s">
        <v>42</v>
      </c>
      <c r="S2009" s="1" t="s">
        <v>42</v>
      </c>
      <c r="T2009" s="1" t="s">
        <v>203</v>
      </c>
      <c r="U2009" s="1">
        <v>1</v>
      </c>
      <c r="V2009" s="5">
        <v>44399</v>
      </c>
      <c r="W2009" s="5">
        <v>42251</v>
      </c>
      <c r="X2009" s="1">
        <v>977000</v>
      </c>
      <c r="Y2009" s="1">
        <v>977000</v>
      </c>
      <c r="Z2009" s="5">
        <v>42252</v>
      </c>
      <c r="AA2009" s="1">
        <v>999300</v>
      </c>
      <c r="AB2009" s="1" t="s">
        <v>1542</v>
      </c>
      <c r="AC2009" s="5">
        <v>42270</v>
      </c>
      <c r="AF2009" s="1">
        <v>10019</v>
      </c>
      <c r="AI2009" s="1" t="s">
        <v>76</v>
      </c>
      <c r="AJ2009" s="1">
        <v>2017</v>
      </c>
      <c r="AK2009" s="1" t="s">
        <v>50</v>
      </c>
      <c r="AL2009" s="1">
        <v>248</v>
      </c>
    </row>
    <row r="2010" spans="1:38" x14ac:dyDescent="0.2">
      <c r="A2010" s="2" t="str">
        <f>HYPERLINK("https://www.compass.com/listing/301-west-53rd-street-unit-11i-manhattan-ny-10019/29388140187816769/","301 W 53rd St, Unit 11I")</f>
        <v>301 W 53rd St, Unit 11I</v>
      </c>
      <c r="B2010" s="2" t="str">
        <f t="shared" si="337"/>
        <v>Fifty Third and Eighth</v>
      </c>
      <c r="C2010" s="1" t="s">
        <v>57</v>
      </c>
      <c r="D2010" s="1" t="s">
        <v>41</v>
      </c>
      <c r="E2010" s="3">
        <v>1002420</v>
      </c>
      <c r="F2010" s="1">
        <v>1502.8785607196401</v>
      </c>
      <c r="G2010" s="1">
        <v>3</v>
      </c>
      <c r="H2010" s="1">
        <v>1</v>
      </c>
      <c r="I2010" s="1">
        <v>1</v>
      </c>
      <c r="J2010" s="1">
        <v>1</v>
      </c>
      <c r="M2010" s="1">
        <v>667</v>
      </c>
      <c r="N2010" s="1">
        <v>570</v>
      </c>
      <c r="O2010" s="1">
        <v>1309</v>
      </c>
      <c r="P2010" s="1">
        <v>739</v>
      </c>
      <c r="Q2010" s="1" t="s">
        <v>42</v>
      </c>
      <c r="S2010" s="1" t="s">
        <v>42</v>
      </c>
      <c r="T2010" s="1" t="s">
        <v>203</v>
      </c>
      <c r="U2010" s="1">
        <v>171</v>
      </c>
      <c r="V2010" s="5">
        <v>43654</v>
      </c>
      <c r="W2010" s="5">
        <v>42111</v>
      </c>
      <c r="X2010" s="1">
        <v>980000</v>
      </c>
      <c r="Y2010" s="1">
        <v>980000</v>
      </c>
      <c r="AA2010" s="1">
        <v>1002420</v>
      </c>
      <c r="AB2010" s="1" t="s">
        <v>1543</v>
      </c>
      <c r="AC2010" s="5">
        <v>42283</v>
      </c>
      <c r="AF2010" s="1">
        <v>10019</v>
      </c>
      <c r="AI2010" s="1" t="s">
        <v>76</v>
      </c>
      <c r="AJ2010" s="1">
        <v>2017</v>
      </c>
      <c r="AK2010" s="1" t="s">
        <v>81</v>
      </c>
      <c r="AL2010" s="1">
        <v>248</v>
      </c>
    </row>
    <row r="2011" spans="1:38" x14ac:dyDescent="0.2">
      <c r="A2011" s="2" t="str">
        <f>HYPERLINK("https://www.compass.com/listing/301-west-53rd-street-unit-8i-manhattan-ny-10019/841256265081980369/","301 W 53rd St, Unit 8I")</f>
        <v>301 W 53rd St, Unit 8I</v>
      </c>
      <c r="B2011" s="2" t="str">
        <f t="shared" si="337"/>
        <v>Fifty Third and Eighth</v>
      </c>
      <c r="C2011" s="1" t="s">
        <v>57</v>
      </c>
      <c r="D2011" s="1" t="s">
        <v>41</v>
      </c>
      <c r="E2011" s="3">
        <v>999300</v>
      </c>
      <c r="F2011" s="1">
        <v>1498.2008095952001</v>
      </c>
      <c r="G2011" s="1">
        <v>3</v>
      </c>
      <c r="H2011" s="1">
        <v>1</v>
      </c>
      <c r="I2011" s="1">
        <v>1</v>
      </c>
      <c r="J2011" s="1">
        <v>1</v>
      </c>
      <c r="M2011" s="1">
        <v>667</v>
      </c>
      <c r="N2011" s="1">
        <v>562</v>
      </c>
      <c r="O2011" s="1">
        <v>1290</v>
      </c>
      <c r="P2011" s="1">
        <v>728</v>
      </c>
      <c r="Q2011" s="1" t="s">
        <v>42</v>
      </c>
      <c r="S2011" s="1" t="s">
        <v>42</v>
      </c>
      <c r="T2011" s="1" t="s">
        <v>203</v>
      </c>
      <c r="U2011" s="1">
        <v>66</v>
      </c>
      <c r="V2011" s="5">
        <v>42212</v>
      </c>
      <c r="W2011" s="5">
        <v>42119</v>
      </c>
      <c r="X2011" s="1">
        <v>977000</v>
      </c>
      <c r="Y2011" s="1">
        <v>977000</v>
      </c>
      <c r="AA2011" s="1">
        <v>999299.94</v>
      </c>
      <c r="AB2011" s="1" t="s">
        <v>1542</v>
      </c>
      <c r="AC2011" s="5">
        <v>42269</v>
      </c>
      <c r="AF2011" s="1">
        <v>10019</v>
      </c>
      <c r="AI2011" s="1" t="s">
        <v>76</v>
      </c>
      <c r="AJ2011" s="1">
        <v>2017</v>
      </c>
      <c r="AK2011" s="1" t="s">
        <v>81</v>
      </c>
      <c r="AL2011" s="1">
        <v>248</v>
      </c>
    </row>
    <row r="2012" spans="1:38" x14ac:dyDescent="0.2">
      <c r="A2012" s="2" t="str">
        <f>HYPERLINK("https://www.compass.com/listing/215-west-122nd-street-unit-ph-manhattan-ny-10027/110044332421064209/","215 W 122nd St, Unit PH")</f>
        <v>215 W 122nd St, Unit PH</v>
      </c>
      <c r="B2012" s="2" t="str">
        <f t="shared" ref="B2012:B2013" si="338">HYPERLINK("https://www.compass.com/building/215-w-122nd-st-manhattan-ny-10027/281980069470110005/","215 W 122nd St")</f>
        <v>215 W 122nd St</v>
      </c>
      <c r="C2012" s="1" t="s">
        <v>131</v>
      </c>
      <c r="D2012" s="1" t="s">
        <v>41</v>
      </c>
      <c r="E2012" s="3">
        <v>1895000</v>
      </c>
      <c r="F2012" s="1">
        <v>1408.9219330855001</v>
      </c>
      <c r="G2012" s="1">
        <v>5</v>
      </c>
      <c r="H2012" s="1">
        <v>3</v>
      </c>
      <c r="I2012" s="1">
        <v>2</v>
      </c>
      <c r="J2012" s="1">
        <v>2</v>
      </c>
      <c r="K2012" s="1">
        <v>2</v>
      </c>
      <c r="M2012" s="4">
        <v>1345</v>
      </c>
      <c r="N2012" s="1">
        <v>999</v>
      </c>
      <c r="O2012" s="1">
        <v>1388</v>
      </c>
      <c r="P2012" s="1">
        <v>389</v>
      </c>
      <c r="Q2012" s="1" t="s">
        <v>42</v>
      </c>
      <c r="S2012" s="1" t="s">
        <v>42</v>
      </c>
      <c r="T2012" s="1" t="s">
        <v>203</v>
      </c>
      <c r="U2012" s="1">
        <v>119</v>
      </c>
      <c r="V2012" s="5">
        <v>44411</v>
      </c>
      <c r="W2012" s="5">
        <v>43404</v>
      </c>
      <c r="X2012" s="1">
        <v>1895000</v>
      </c>
      <c r="Y2012" s="1">
        <v>1895000</v>
      </c>
      <c r="Z2012" s="5">
        <v>43573</v>
      </c>
      <c r="AA2012" s="1">
        <v>1895000</v>
      </c>
      <c r="AB2012" s="1" t="s">
        <v>204</v>
      </c>
      <c r="AC2012" s="5">
        <v>43746</v>
      </c>
      <c r="AF2012" s="1">
        <v>10027</v>
      </c>
      <c r="AI2012" s="1" t="s">
        <v>1544</v>
      </c>
      <c r="AJ2012" s="1">
        <v>2018</v>
      </c>
      <c r="AL2012" s="1">
        <v>6</v>
      </c>
    </row>
    <row r="2013" spans="1:38" x14ac:dyDescent="0.2">
      <c r="A2013" s="2" t="str">
        <f>HYPERLINK("https://www.compass.com/listing/215-west-122nd-street-unit-4-manhattan-ny-10027/363622115103604369/","215 W 122nd St, Unit 4")</f>
        <v>215 W 122nd St, Unit 4</v>
      </c>
      <c r="B2013" s="2" t="str">
        <f t="shared" si="338"/>
        <v>215 W 122nd St</v>
      </c>
      <c r="C2013" s="1" t="s">
        <v>131</v>
      </c>
      <c r="D2013" s="1" t="s">
        <v>41</v>
      </c>
      <c r="E2013" s="3">
        <v>1212000</v>
      </c>
      <c r="F2013" s="1">
        <v>1057.5916230366399</v>
      </c>
      <c r="G2013" s="1">
        <v>5</v>
      </c>
      <c r="H2013" s="1">
        <v>2</v>
      </c>
      <c r="I2013" s="1">
        <v>2</v>
      </c>
      <c r="J2013" s="1">
        <v>2</v>
      </c>
      <c r="K2013" s="1">
        <v>2</v>
      </c>
      <c r="M2013" s="4">
        <v>1146</v>
      </c>
      <c r="N2013" s="1">
        <v>708</v>
      </c>
      <c r="O2013" s="1">
        <v>2086</v>
      </c>
      <c r="P2013" s="1">
        <v>1378</v>
      </c>
      <c r="Q2013" s="1" t="s">
        <v>42</v>
      </c>
      <c r="S2013" s="1" t="s">
        <v>42</v>
      </c>
      <c r="T2013" s="1" t="s">
        <v>203</v>
      </c>
      <c r="V2013" s="5">
        <v>44065</v>
      </c>
      <c r="W2013" s="5">
        <v>43754</v>
      </c>
      <c r="X2013" s="1">
        <v>1210000</v>
      </c>
      <c r="Y2013" s="1">
        <v>1210000</v>
      </c>
      <c r="Z2013" s="5">
        <v>43754</v>
      </c>
      <c r="AA2013" s="1">
        <v>1212000</v>
      </c>
      <c r="AB2013" s="1" t="s">
        <v>1516</v>
      </c>
      <c r="AC2013" s="5">
        <v>43791</v>
      </c>
      <c r="AF2013" s="1">
        <v>10027</v>
      </c>
      <c r="AI2013" s="1" t="s">
        <v>1270</v>
      </c>
      <c r="AJ2013" s="1">
        <v>2018</v>
      </c>
      <c r="AK2013" s="1" t="s">
        <v>91</v>
      </c>
      <c r="AL2013" s="1">
        <v>6</v>
      </c>
    </row>
    <row r="2014" spans="1:38" x14ac:dyDescent="0.2">
      <c r="A2014" s="2" t="str">
        <f>HYPERLINK("https://www.compass.com/listing/301-west-53rd-street-unit-15g-manhattan-ny-10019/29388155245376625/","301 W 53rd St, Unit 15G")</f>
        <v>301 W 53rd St, Unit 15G</v>
      </c>
      <c r="B2014" s="2" t="str">
        <f t="shared" ref="B2014:B2022" si="339">HYPERLINK("https://www.compass.com/building/fifty-third-and-eighth-manhattan-ny/281944545158031557/","Fifty Third and Eighth")</f>
        <v>Fifty Third and Eighth</v>
      </c>
      <c r="C2014" s="1" t="s">
        <v>57</v>
      </c>
      <c r="D2014" s="1" t="s">
        <v>41</v>
      </c>
      <c r="E2014" s="3">
        <v>1154699</v>
      </c>
      <c r="F2014" s="1">
        <v>1703.09587020648</v>
      </c>
      <c r="G2014" s="1">
        <v>3</v>
      </c>
      <c r="H2014" s="1">
        <v>1</v>
      </c>
      <c r="I2014" s="1">
        <v>1</v>
      </c>
      <c r="J2014" s="1">
        <v>1</v>
      </c>
      <c r="M2014" s="1">
        <v>678</v>
      </c>
      <c r="N2014" s="1">
        <v>590</v>
      </c>
      <c r="O2014" s="1">
        <v>1355</v>
      </c>
      <c r="P2014" s="1">
        <v>765</v>
      </c>
      <c r="Q2014" s="1" t="s">
        <v>42</v>
      </c>
      <c r="S2014" s="1" t="s">
        <v>42</v>
      </c>
      <c r="T2014" s="1" t="s">
        <v>203</v>
      </c>
      <c r="U2014" s="1">
        <v>452</v>
      </c>
      <c r="V2014" s="5">
        <v>43679</v>
      </c>
      <c r="W2014" s="5">
        <v>42014</v>
      </c>
      <c r="X2014" s="1">
        <v>1200000</v>
      </c>
      <c r="Y2014" s="1">
        <v>1200000</v>
      </c>
      <c r="AA2014" s="1">
        <v>1154699</v>
      </c>
      <c r="AB2014" s="1" t="s">
        <v>1545</v>
      </c>
      <c r="AC2014" s="5">
        <v>42467</v>
      </c>
      <c r="AF2014" s="1">
        <v>10019</v>
      </c>
      <c r="AI2014" s="1" t="s">
        <v>76</v>
      </c>
      <c r="AJ2014" s="1">
        <v>2017</v>
      </c>
      <c r="AK2014" s="1" t="s">
        <v>50</v>
      </c>
      <c r="AL2014" s="1">
        <v>248</v>
      </c>
    </row>
    <row r="2015" spans="1:38" x14ac:dyDescent="0.2">
      <c r="A2015" s="2" t="str">
        <f>HYPERLINK("https://www.compass.com/listing/301-west-53rd-street-unit-4g-manhattan-ny-10019/29507301018789281/","301 W 53rd St, Unit 4G")</f>
        <v>301 W 53rd St, Unit 4G</v>
      </c>
      <c r="B2015" s="2" t="str">
        <f t="shared" si="339"/>
        <v>Fifty Third and Eighth</v>
      </c>
      <c r="C2015" s="1" t="s">
        <v>57</v>
      </c>
      <c r="D2015" s="1" t="s">
        <v>41</v>
      </c>
      <c r="E2015" s="3">
        <v>1035000</v>
      </c>
      <c r="F2015" s="1">
        <v>1526.54867256637</v>
      </c>
      <c r="G2015" s="1">
        <v>3</v>
      </c>
      <c r="H2015" s="1">
        <v>1</v>
      </c>
      <c r="I2015" s="1">
        <v>1</v>
      </c>
      <c r="J2015" s="1">
        <v>1</v>
      </c>
      <c r="K2015" s="1">
        <v>1</v>
      </c>
      <c r="M2015" s="1">
        <v>678</v>
      </c>
      <c r="N2015" s="1">
        <v>560</v>
      </c>
      <c r="O2015" s="1">
        <v>1286</v>
      </c>
      <c r="P2015" s="1">
        <v>726</v>
      </c>
      <c r="Q2015" s="1" t="s">
        <v>42</v>
      </c>
      <c r="S2015" s="1" t="s">
        <v>42</v>
      </c>
      <c r="T2015" s="1" t="s">
        <v>203</v>
      </c>
      <c r="U2015" s="1">
        <v>91</v>
      </c>
      <c r="V2015" s="5">
        <v>43644</v>
      </c>
      <c r="W2015" s="5">
        <v>43292</v>
      </c>
      <c r="X2015" s="1">
        <v>1150000</v>
      </c>
      <c r="Y2015" s="1">
        <v>1100000</v>
      </c>
      <c r="Z2015" s="5">
        <v>43383</v>
      </c>
      <c r="AA2015" s="1">
        <v>1035000</v>
      </c>
      <c r="AB2015" s="1" t="s">
        <v>1546</v>
      </c>
      <c r="AC2015" s="5">
        <v>43405</v>
      </c>
      <c r="AF2015" s="1">
        <v>10019</v>
      </c>
      <c r="AI2015" s="1" t="s">
        <v>76</v>
      </c>
      <c r="AJ2015" s="1">
        <v>2017</v>
      </c>
      <c r="AK2015" s="1" t="s">
        <v>81</v>
      </c>
      <c r="AL2015" s="1">
        <v>248</v>
      </c>
    </row>
    <row r="2016" spans="1:38" x14ac:dyDescent="0.2">
      <c r="A2016" s="2" t="str">
        <f>HYPERLINK("https://www.compass.com/listing/301-west-53rd-street-unit-23i-manhattan-ny-10019/308937794864694497/","301 W 53rd St, Unit 23I")</f>
        <v>301 W 53rd St, Unit 23I</v>
      </c>
      <c r="B2016" s="2" t="str">
        <f t="shared" si="339"/>
        <v>Fifty Third and Eighth</v>
      </c>
      <c r="C2016" s="1" t="s">
        <v>57</v>
      </c>
      <c r="D2016" s="1" t="s">
        <v>41</v>
      </c>
      <c r="E2016" s="3">
        <v>1044796</v>
      </c>
      <c r="F2016" s="1">
        <v>1566.41055472263</v>
      </c>
      <c r="G2016" s="1">
        <v>3</v>
      </c>
      <c r="H2016" s="1">
        <v>1</v>
      </c>
      <c r="I2016" s="1">
        <v>1</v>
      </c>
      <c r="J2016" s="1">
        <v>1</v>
      </c>
      <c r="K2016" s="1">
        <v>1</v>
      </c>
      <c r="M2016" s="1">
        <v>667</v>
      </c>
      <c r="N2016" s="1">
        <v>650</v>
      </c>
      <c r="O2016" s="1">
        <v>1809</v>
      </c>
      <c r="P2016" s="1">
        <v>1159</v>
      </c>
      <c r="Q2016" s="1" t="s">
        <v>42</v>
      </c>
      <c r="S2016" s="1" t="s">
        <v>42</v>
      </c>
      <c r="T2016" s="1" t="s">
        <v>203</v>
      </c>
      <c r="U2016" s="1">
        <v>1665</v>
      </c>
      <c r="V2016" s="5">
        <v>43875</v>
      </c>
      <c r="W2016" s="5">
        <v>42013</v>
      </c>
      <c r="Y2016" s="1">
        <v>1175000</v>
      </c>
      <c r="AA2016" s="1">
        <v>1044795.84</v>
      </c>
      <c r="AB2016" s="1" t="s">
        <v>1547</v>
      </c>
      <c r="AC2016" s="5">
        <v>43829</v>
      </c>
      <c r="AF2016" s="1">
        <v>10019</v>
      </c>
      <c r="AI2016" s="1" t="s">
        <v>154</v>
      </c>
      <c r="AJ2016" s="1">
        <v>2017</v>
      </c>
      <c r="AK2016" s="1" t="s">
        <v>81</v>
      </c>
      <c r="AL2016" s="1">
        <v>248</v>
      </c>
    </row>
    <row r="2017" spans="1:38" x14ac:dyDescent="0.2">
      <c r="A2017" s="2" t="str">
        <f>HYPERLINK("https://www.compass.com/listing/301-west-53rd-street-unit-25j-manhattan-ny-10019/29388192675338017/","301 W 53rd St, Unit 25J")</f>
        <v>301 W 53rd St, Unit 25J</v>
      </c>
      <c r="B2017" s="2" t="str">
        <f t="shared" si="339"/>
        <v>Fifty Third and Eighth</v>
      </c>
      <c r="C2017" s="1" t="s">
        <v>57</v>
      </c>
      <c r="D2017" s="1" t="s">
        <v>41</v>
      </c>
      <c r="E2017" s="3">
        <v>1184919</v>
      </c>
      <c r="F2017" s="1">
        <v>1747.6681415929199</v>
      </c>
      <c r="G2017" s="1">
        <v>3</v>
      </c>
      <c r="H2017" s="1">
        <v>1</v>
      </c>
      <c r="I2017" s="1">
        <v>1</v>
      </c>
      <c r="J2017" s="1">
        <v>1</v>
      </c>
      <c r="M2017" s="1">
        <v>678</v>
      </c>
      <c r="N2017" s="1">
        <v>603</v>
      </c>
      <c r="O2017" s="1">
        <v>1820</v>
      </c>
      <c r="P2017" s="1">
        <v>1217</v>
      </c>
      <c r="Q2017" s="1" t="s">
        <v>42</v>
      </c>
      <c r="S2017" s="1" t="s">
        <v>42</v>
      </c>
      <c r="T2017" s="1" t="s">
        <v>203</v>
      </c>
      <c r="U2017" s="1">
        <v>105</v>
      </c>
      <c r="V2017" s="5">
        <v>43673</v>
      </c>
      <c r="W2017" s="5">
        <v>42928</v>
      </c>
      <c r="X2017" s="1">
        <v>1265000</v>
      </c>
      <c r="Y2017" s="1">
        <v>1265000</v>
      </c>
      <c r="Z2017" s="5">
        <v>43033</v>
      </c>
      <c r="AA2017" s="1">
        <v>1184919</v>
      </c>
      <c r="AB2017" s="1" t="s">
        <v>1548</v>
      </c>
      <c r="AC2017" s="5">
        <v>43061</v>
      </c>
      <c r="AF2017" s="1">
        <v>10019</v>
      </c>
      <c r="AI2017" s="1" t="s">
        <v>76</v>
      </c>
      <c r="AJ2017" s="1">
        <v>2017</v>
      </c>
      <c r="AK2017" s="1" t="s">
        <v>50</v>
      </c>
      <c r="AL2017" s="1">
        <v>248</v>
      </c>
    </row>
    <row r="2018" spans="1:38" x14ac:dyDescent="0.2">
      <c r="A2018" s="2" t="str">
        <f>HYPERLINK("https://www.compass.com/listing/301-west-53rd-street-unit-16h-manhattan-ny-10019/29388159775216801/","301 W 53rd St, Unit 16H")</f>
        <v>301 W 53rd St, Unit 16H</v>
      </c>
      <c r="B2018" s="2" t="str">
        <f t="shared" si="339"/>
        <v>Fifty Third and Eighth</v>
      </c>
      <c r="C2018" s="1" t="s">
        <v>57</v>
      </c>
      <c r="D2018" s="1" t="s">
        <v>41</v>
      </c>
      <c r="E2018" s="3">
        <v>1033077</v>
      </c>
      <c r="F2018" s="1">
        <v>1548.8410794602601</v>
      </c>
      <c r="G2018" s="1">
        <v>3</v>
      </c>
      <c r="H2018" s="1">
        <v>1</v>
      </c>
      <c r="I2018" s="1">
        <v>1</v>
      </c>
      <c r="J2018" s="1">
        <v>1</v>
      </c>
      <c r="M2018" s="1">
        <v>667</v>
      </c>
      <c r="N2018" s="1">
        <v>570</v>
      </c>
      <c r="O2018" s="1">
        <v>1601</v>
      </c>
      <c r="P2018" s="1">
        <v>1031</v>
      </c>
      <c r="Q2018" s="1" t="s">
        <v>42</v>
      </c>
      <c r="S2018" s="1" t="s">
        <v>42</v>
      </c>
      <c r="T2018" s="1" t="s">
        <v>203</v>
      </c>
      <c r="V2018" s="5">
        <v>43663</v>
      </c>
      <c r="W2018" s="5">
        <v>42712</v>
      </c>
      <c r="X2018" s="1">
        <v>1010000</v>
      </c>
      <c r="Y2018" s="1">
        <v>1010000</v>
      </c>
      <c r="Z2018" s="5">
        <v>42712</v>
      </c>
      <c r="AA2018" s="1">
        <v>1033077</v>
      </c>
      <c r="AB2018" s="1" t="s">
        <v>1549</v>
      </c>
      <c r="AC2018" s="5">
        <v>42864</v>
      </c>
      <c r="AF2018" s="1">
        <v>10019</v>
      </c>
      <c r="AI2018" s="1" t="s">
        <v>76</v>
      </c>
      <c r="AJ2018" s="1">
        <v>2017</v>
      </c>
      <c r="AK2018" s="1" t="s">
        <v>81</v>
      </c>
      <c r="AL2018" s="1">
        <v>248</v>
      </c>
    </row>
    <row r="2019" spans="1:38" x14ac:dyDescent="0.2">
      <c r="A2019" s="2" t="str">
        <f>HYPERLINK("https://www.compass.com/listing/301-west-53rd-street-unit-17h-manhattan-ny-10019/29388164682552577/","301 W 53rd St, Unit 17H")</f>
        <v>301 W 53rd St, Unit 17H</v>
      </c>
      <c r="B2019" s="2" t="str">
        <f t="shared" si="339"/>
        <v>Fifty Third and Eighth</v>
      </c>
      <c r="C2019" s="1" t="s">
        <v>57</v>
      </c>
      <c r="D2019" s="1" t="s">
        <v>41</v>
      </c>
      <c r="E2019" s="3">
        <v>1149665</v>
      </c>
      <c r="F2019" s="1">
        <v>1723.63568215892</v>
      </c>
      <c r="G2019" s="1">
        <v>3</v>
      </c>
      <c r="H2019" s="1">
        <v>1</v>
      </c>
      <c r="I2019" s="1">
        <v>1</v>
      </c>
      <c r="J2019" s="1">
        <v>1</v>
      </c>
      <c r="M2019" s="1">
        <v>667</v>
      </c>
      <c r="N2019" s="1">
        <v>570</v>
      </c>
      <c r="O2019" s="1">
        <v>1390</v>
      </c>
      <c r="P2019" s="1">
        <v>820</v>
      </c>
      <c r="Q2019" s="1" t="s">
        <v>42</v>
      </c>
      <c r="S2019" s="1" t="s">
        <v>42</v>
      </c>
      <c r="T2019" s="1" t="s">
        <v>203</v>
      </c>
      <c r="V2019" s="5">
        <v>43675</v>
      </c>
      <c r="W2019" s="5">
        <v>42594</v>
      </c>
      <c r="X2019" s="1">
        <v>1195000</v>
      </c>
      <c r="Y2019" s="1">
        <v>1195000</v>
      </c>
      <c r="Z2019" s="5">
        <v>42594</v>
      </c>
      <c r="AA2019" s="1">
        <v>1149665</v>
      </c>
      <c r="AB2019" s="1" t="s">
        <v>1550</v>
      </c>
      <c r="AC2019" s="5">
        <v>42648</v>
      </c>
      <c r="AF2019" s="1">
        <v>10019</v>
      </c>
      <c r="AI2019" s="1" t="s">
        <v>76</v>
      </c>
      <c r="AJ2019" s="1">
        <v>2017</v>
      </c>
      <c r="AK2019" s="1" t="s">
        <v>81</v>
      </c>
      <c r="AL2019" s="1">
        <v>248</v>
      </c>
    </row>
    <row r="2020" spans="1:38" x14ac:dyDescent="0.2">
      <c r="A2020" s="2" t="str">
        <f>HYPERLINK("https://www.compass.com/listing/301-west-53rd-street-unit-17i-manhattan-ny-10019/29388165093602577/","301 W 53rd St, Unit 17I")</f>
        <v>301 W 53rd St, Unit 17I</v>
      </c>
      <c r="B2020" s="2" t="str">
        <f t="shared" si="339"/>
        <v>Fifty Third and Eighth</v>
      </c>
      <c r="C2020" s="1" t="s">
        <v>57</v>
      </c>
      <c r="D2020" s="1" t="s">
        <v>41</v>
      </c>
      <c r="E2020" s="3">
        <v>1149665</v>
      </c>
      <c r="F2020" s="1">
        <v>1723.63568215892</v>
      </c>
      <c r="G2020" s="1">
        <v>3</v>
      </c>
      <c r="H2020" s="1">
        <v>1</v>
      </c>
      <c r="I2020" s="1">
        <v>1</v>
      </c>
      <c r="J2020" s="1">
        <v>1</v>
      </c>
      <c r="M2020" s="1">
        <v>667</v>
      </c>
      <c r="N2020" s="1">
        <v>570</v>
      </c>
      <c r="O2020" s="1">
        <v>1390</v>
      </c>
      <c r="P2020" s="1">
        <v>820</v>
      </c>
      <c r="Q2020" s="1" t="s">
        <v>42</v>
      </c>
      <c r="S2020" s="1" t="s">
        <v>42</v>
      </c>
      <c r="T2020" s="1" t="s">
        <v>203</v>
      </c>
      <c r="V2020" s="5">
        <v>43668</v>
      </c>
      <c r="W2020" s="5">
        <v>42594</v>
      </c>
      <c r="X2020" s="1">
        <v>1195000</v>
      </c>
      <c r="Y2020" s="1">
        <v>1195000</v>
      </c>
      <c r="Z2020" s="5">
        <v>42594</v>
      </c>
      <c r="AA2020" s="1">
        <v>1149665</v>
      </c>
      <c r="AB2020" s="1" t="s">
        <v>1551</v>
      </c>
      <c r="AC2020" s="5">
        <v>42648</v>
      </c>
      <c r="AF2020" s="1">
        <v>10019</v>
      </c>
      <c r="AI2020" s="1" t="s">
        <v>76</v>
      </c>
      <c r="AJ2020" s="1">
        <v>2017</v>
      </c>
      <c r="AK2020" s="1" t="s">
        <v>81</v>
      </c>
      <c r="AL2020" s="1">
        <v>248</v>
      </c>
    </row>
    <row r="2021" spans="1:38" x14ac:dyDescent="0.2">
      <c r="A2021" s="2" t="str">
        <f>HYPERLINK("https://www.compass.com/listing/301-west-53rd-street-unit-21h-manhattan-ny-10019/29388177542233041/","301 W 53rd St, Unit 21H")</f>
        <v>301 W 53rd St, Unit 21H</v>
      </c>
      <c r="B2021" s="2" t="str">
        <f t="shared" si="339"/>
        <v>Fifty Third and Eighth</v>
      </c>
      <c r="C2021" s="1" t="s">
        <v>57</v>
      </c>
      <c r="D2021" s="1" t="s">
        <v>41</v>
      </c>
      <c r="E2021" s="3">
        <v>1154753</v>
      </c>
      <c r="F2021" s="1">
        <v>1731.26386806596</v>
      </c>
      <c r="G2021" s="1">
        <v>3</v>
      </c>
      <c r="H2021" s="1">
        <v>1</v>
      </c>
      <c r="I2021" s="1">
        <v>1</v>
      </c>
      <c r="J2021" s="1">
        <v>1</v>
      </c>
      <c r="M2021" s="1">
        <v>667</v>
      </c>
      <c r="N2021" s="1">
        <v>583</v>
      </c>
      <c r="O2021" s="1">
        <v>1638</v>
      </c>
      <c r="P2021" s="1">
        <v>1055</v>
      </c>
      <c r="Q2021" s="1" t="s">
        <v>42</v>
      </c>
      <c r="S2021" s="1" t="s">
        <v>42</v>
      </c>
      <c r="T2021" s="1" t="s">
        <v>203</v>
      </c>
      <c r="U2021" s="1">
        <v>266</v>
      </c>
      <c r="V2021" s="5">
        <v>43670</v>
      </c>
      <c r="W2021" s="5">
        <v>42626</v>
      </c>
      <c r="X2021" s="1">
        <v>1215000</v>
      </c>
      <c r="Y2021" s="1">
        <v>1215000</v>
      </c>
      <c r="Z2021" s="5">
        <v>42892</v>
      </c>
      <c r="AA2021" s="1">
        <v>1154753</v>
      </c>
      <c r="AB2021" s="1" t="s">
        <v>1552</v>
      </c>
      <c r="AC2021" s="5">
        <v>42949</v>
      </c>
      <c r="AF2021" s="1">
        <v>10019</v>
      </c>
      <c r="AI2021" s="1" t="s">
        <v>76</v>
      </c>
      <c r="AJ2021" s="1">
        <v>2017</v>
      </c>
      <c r="AK2021" s="1" t="s">
        <v>50</v>
      </c>
      <c r="AL2021" s="1">
        <v>248</v>
      </c>
    </row>
    <row r="2022" spans="1:38" x14ac:dyDescent="0.2">
      <c r="A2022" s="2" t="str">
        <f>HYPERLINK("https://www.compass.com/listing/301-west-53rd-street-unit-25i-manhattan-ny-10019/29507301975090641/","301 W 53rd St, Unit 25I")</f>
        <v>301 W 53rd St, Unit 25I</v>
      </c>
      <c r="B2022" s="2" t="str">
        <f t="shared" si="339"/>
        <v>Fifty Third and Eighth</v>
      </c>
      <c r="C2022" s="1" t="s">
        <v>57</v>
      </c>
      <c r="D2022" s="1" t="s">
        <v>41</v>
      </c>
      <c r="E2022" s="3">
        <v>1165333</v>
      </c>
      <c r="F2022" s="1">
        <v>1747.1259370314799</v>
      </c>
      <c r="G2022" s="1">
        <v>3</v>
      </c>
      <c r="H2022" s="1">
        <v>1</v>
      </c>
      <c r="I2022" s="1">
        <v>1</v>
      </c>
      <c r="J2022" s="1">
        <v>1</v>
      </c>
      <c r="K2022" s="1">
        <v>1</v>
      </c>
      <c r="M2022" s="1">
        <v>667</v>
      </c>
      <c r="N2022" s="1">
        <v>594</v>
      </c>
      <c r="O2022" s="1">
        <v>1791</v>
      </c>
      <c r="P2022" s="1">
        <v>1197</v>
      </c>
      <c r="Q2022" s="1" t="s">
        <v>42</v>
      </c>
      <c r="S2022" s="1" t="s">
        <v>42</v>
      </c>
      <c r="T2022" s="1" t="s">
        <v>203</v>
      </c>
      <c r="U2022" s="1">
        <v>233</v>
      </c>
      <c r="V2022" s="5">
        <v>43637</v>
      </c>
      <c r="W2022" s="5">
        <v>43160</v>
      </c>
      <c r="X2022" s="1">
        <v>1250000</v>
      </c>
      <c r="Y2022" s="1">
        <v>1250000</v>
      </c>
      <c r="Z2022" s="5">
        <v>43393</v>
      </c>
      <c r="AA2022" s="1">
        <v>1165333</v>
      </c>
      <c r="AB2022" s="1" t="s">
        <v>1553</v>
      </c>
      <c r="AC2022" s="5">
        <v>43406</v>
      </c>
      <c r="AF2022" s="1">
        <v>10019</v>
      </c>
      <c r="AI2022" s="1" t="s">
        <v>76</v>
      </c>
      <c r="AJ2022" s="1">
        <v>2017</v>
      </c>
      <c r="AK2022" s="1" t="s">
        <v>50</v>
      </c>
      <c r="AL2022" s="1">
        <v>248</v>
      </c>
    </row>
    <row r="2023" spans="1:38" x14ac:dyDescent="0.2">
      <c r="A2023" s="2" t="str">
        <f>HYPERLINK("https://www.compass.com/listing/264-water-street-unit-4d-manhattan-ny-11201/29357482778301121/","264 Water St, Unit 4D")</f>
        <v>264 Water St, Unit 4D</v>
      </c>
      <c r="B2023" s="2" t="str">
        <f>HYPERLINK("https://www.compass.com/building/264-water-st-manhattan-ny-11201/820452910768211061/","264 Water St")</f>
        <v>264 Water St</v>
      </c>
      <c r="C2023" s="1" t="s">
        <v>155</v>
      </c>
      <c r="D2023" s="1" t="s">
        <v>41</v>
      </c>
      <c r="E2023" s="3">
        <v>1145000</v>
      </c>
      <c r="F2023" s="1">
        <v>1027.8276481149001</v>
      </c>
      <c r="G2023" s="1">
        <v>4</v>
      </c>
      <c r="H2023" s="1">
        <v>2</v>
      </c>
      <c r="I2023" s="1">
        <v>2</v>
      </c>
      <c r="J2023" s="1">
        <v>1.5</v>
      </c>
      <c r="M2023" s="4">
        <v>1114</v>
      </c>
      <c r="N2023" s="1">
        <v>708</v>
      </c>
      <c r="O2023" s="1">
        <v>1740</v>
      </c>
      <c r="P2023" s="1">
        <v>1032</v>
      </c>
      <c r="Q2023" s="1" t="s">
        <v>42</v>
      </c>
      <c r="S2023" s="1" t="s">
        <v>42</v>
      </c>
      <c r="T2023" s="1" t="s">
        <v>203</v>
      </c>
      <c r="U2023" s="1">
        <v>52</v>
      </c>
      <c r="V2023" s="5">
        <v>43665</v>
      </c>
      <c r="W2023" s="5">
        <v>42654</v>
      </c>
      <c r="X2023" s="1">
        <v>1175000</v>
      </c>
      <c r="Y2023" s="1">
        <v>1175000</v>
      </c>
      <c r="Z2023" s="5">
        <v>42706</v>
      </c>
      <c r="AA2023" s="1">
        <v>1145000</v>
      </c>
      <c r="AB2023" s="1" t="s">
        <v>1554</v>
      </c>
      <c r="AC2023" s="5">
        <v>42762</v>
      </c>
      <c r="AF2023" s="1">
        <v>11201</v>
      </c>
      <c r="AJ2023" s="1">
        <v>1900</v>
      </c>
      <c r="AK2023" s="1" t="s">
        <v>880</v>
      </c>
      <c r="AL2023" s="1">
        <v>27</v>
      </c>
    </row>
    <row r="2024" spans="1:38" x14ac:dyDescent="0.2">
      <c r="A2024" s="2" t="str">
        <f>HYPERLINK("https://www.compass.com/listing/375-west-123rd-street-unit-7b-manhattan-ny-10027/652882401899479841/","375 W 123rd St, Unit 7B")</f>
        <v>375 W 123rd St, Unit 7B</v>
      </c>
      <c r="B2024" s="2" t="str">
        <f>HYPERLINK("https://www.compass.com/building/99-morningside-manhattan-ny/281983676789660549/","99 Morningside")</f>
        <v>99 Morningside</v>
      </c>
      <c r="C2024" s="1" t="s">
        <v>131</v>
      </c>
      <c r="D2024" s="1" t="s">
        <v>41</v>
      </c>
      <c r="E2024" s="3">
        <v>2650000</v>
      </c>
      <c r="F2024" s="1">
        <v>1434.7590687601501</v>
      </c>
      <c r="G2024" s="1">
        <v>6</v>
      </c>
      <c r="H2024" s="1">
        <v>4</v>
      </c>
      <c r="I2024" s="1">
        <v>3</v>
      </c>
      <c r="J2024" s="1">
        <v>2</v>
      </c>
      <c r="K2024" s="1">
        <v>2</v>
      </c>
      <c r="M2024" s="4">
        <v>1847</v>
      </c>
      <c r="N2024" s="1">
        <v>1674</v>
      </c>
      <c r="O2024" s="1">
        <v>3285</v>
      </c>
      <c r="P2024" s="1">
        <v>1611</v>
      </c>
      <c r="Q2024" s="1" t="s">
        <v>42</v>
      </c>
      <c r="S2024" s="1" t="s">
        <v>42</v>
      </c>
      <c r="T2024" s="1" t="s">
        <v>203</v>
      </c>
      <c r="U2024" s="1">
        <v>211</v>
      </c>
      <c r="V2024" s="5">
        <v>44394</v>
      </c>
      <c r="W2024" s="5">
        <v>44152</v>
      </c>
      <c r="X2024" s="1">
        <v>2750000</v>
      </c>
      <c r="Y2024" s="1">
        <v>2750000</v>
      </c>
      <c r="Z2024" s="5">
        <v>44363</v>
      </c>
      <c r="AA2024" s="1">
        <v>2650000</v>
      </c>
      <c r="AB2024" s="1" t="s">
        <v>204</v>
      </c>
      <c r="AC2024" s="5">
        <v>44392</v>
      </c>
      <c r="AF2024" s="1">
        <v>10027</v>
      </c>
      <c r="AI2024" s="1" t="s">
        <v>159</v>
      </c>
      <c r="AJ2024" s="1">
        <v>2016</v>
      </c>
      <c r="AK2024" s="1" t="s">
        <v>133</v>
      </c>
      <c r="AL2024" s="1">
        <v>22</v>
      </c>
    </row>
    <row r="2025" spans="1:38" x14ac:dyDescent="0.2">
      <c r="A2025" s="2" t="str">
        <f>HYPERLINK("https://www.compass.com/listing/40-pinehurst-avenue-unit-5d-manhattan-ny-10033/285623918180476273/","40 Pinehurst Ave, Unit 5D")</f>
        <v>40 Pinehurst Ave, Unit 5D</v>
      </c>
      <c r="B2025" s="2" t="str">
        <f t="shared" ref="B2025:B2026" si="340">HYPERLINK("https://www.compass.com/building/the-ammann-manhattan-ny/282011498950165109/","The Ammann")</f>
        <v>The Ammann</v>
      </c>
      <c r="C2025" s="1" t="s">
        <v>164</v>
      </c>
      <c r="D2025" s="1" t="s">
        <v>41</v>
      </c>
      <c r="E2025" s="3">
        <v>873149</v>
      </c>
      <c r="F2025" s="1">
        <v>1012.93431554524</v>
      </c>
      <c r="G2025" s="1">
        <v>4</v>
      </c>
      <c r="H2025" s="1">
        <v>2</v>
      </c>
      <c r="I2025" s="1">
        <v>2</v>
      </c>
      <c r="J2025" s="1">
        <v>1.5</v>
      </c>
      <c r="K2025" s="1">
        <v>1</v>
      </c>
      <c r="L2025" s="1">
        <v>1</v>
      </c>
      <c r="M2025" s="1">
        <v>862</v>
      </c>
      <c r="N2025" s="1">
        <v>391.95</v>
      </c>
      <c r="O2025" s="1">
        <v>608.82999999999902</v>
      </c>
      <c r="P2025" s="1">
        <v>216.916666666666</v>
      </c>
      <c r="Q2025" s="1" t="s">
        <v>42</v>
      </c>
      <c r="S2025" s="1" t="s">
        <v>42</v>
      </c>
      <c r="T2025" s="1" t="s">
        <v>203</v>
      </c>
      <c r="U2025" s="1">
        <v>482</v>
      </c>
      <c r="V2025" s="5">
        <v>43858</v>
      </c>
      <c r="W2025" s="5">
        <v>43326</v>
      </c>
      <c r="X2025" s="1">
        <v>868000</v>
      </c>
      <c r="Y2025" s="1">
        <v>868000</v>
      </c>
      <c r="Z2025" s="5">
        <v>43833</v>
      </c>
      <c r="AA2025" s="1">
        <v>873149.38</v>
      </c>
      <c r="AB2025" s="1" t="s">
        <v>1555</v>
      </c>
      <c r="AC2025" s="5">
        <v>43845</v>
      </c>
      <c r="AF2025" s="1">
        <v>10033</v>
      </c>
      <c r="AI2025" s="1" t="s">
        <v>199</v>
      </c>
      <c r="AJ2025" s="1">
        <v>2018</v>
      </c>
      <c r="AL2025" s="1">
        <v>24</v>
      </c>
    </row>
    <row r="2026" spans="1:38" x14ac:dyDescent="0.2">
      <c r="A2026" s="2" t="str">
        <f>HYPERLINK("https://www.compass.com/listing/40-pinehurst-avenue-unit-3a-manhattan-ny-10033/295160904379422225/","40 Pinehurst Ave, Unit 3A")</f>
        <v>40 Pinehurst Ave, Unit 3A</v>
      </c>
      <c r="B2026" s="2" t="str">
        <f t="shared" si="340"/>
        <v>The Ammann</v>
      </c>
      <c r="C2026" s="1" t="s">
        <v>164</v>
      </c>
      <c r="D2026" s="1" t="s">
        <v>41</v>
      </c>
      <c r="E2026" s="3">
        <v>813582</v>
      </c>
      <c r="F2026" s="1">
        <v>944.92653890824602</v>
      </c>
      <c r="G2026" s="1">
        <v>4</v>
      </c>
      <c r="H2026" s="1">
        <v>1</v>
      </c>
      <c r="I2026" s="1">
        <v>2</v>
      </c>
      <c r="J2026" s="1">
        <v>1.5</v>
      </c>
      <c r="K2026" s="1">
        <v>1</v>
      </c>
      <c r="L2026" s="1">
        <v>1</v>
      </c>
      <c r="M2026" s="1">
        <v>861</v>
      </c>
      <c r="N2026" s="1">
        <v>375.83</v>
      </c>
      <c r="O2026" s="1">
        <v>583.79</v>
      </c>
      <c r="P2026" s="1">
        <v>208</v>
      </c>
      <c r="Q2026" s="1" t="s">
        <v>42</v>
      </c>
      <c r="S2026" s="1" t="s">
        <v>42</v>
      </c>
      <c r="T2026" s="1" t="s">
        <v>203</v>
      </c>
      <c r="U2026" s="1">
        <v>82</v>
      </c>
      <c r="V2026" s="5">
        <v>43767</v>
      </c>
      <c r="W2026" s="5">
        <v>43659</v>
      </c>
      <c r="X2026" s="1">
        <v>799000</v>
      </c>
      <c r="Y2026" s="1">
        <v>799000</v>
      </c>
      <c r="Z2026" s="5">
        <v>43741</v>
      </c>
      <c r="AA2026" s="1">
        <v>813581.75</v>
      </c>
      <c r="AB2026" s="1" t="s">
        <v>1556</v>
      </c>
      <c r="AC2026" s="5">
        <v>43760</v>
      </c>
      <c r="AF2026" s="1">
        <v>10033</v>
      </c>
      <c r="AI2026" s="1" t="s">
        <v>97</v>
      </c>
      <c r="AJ2026" s="1">
        <v>2018</v>
      </c>
      <c r="AL2026" s="1">
        <v>24</v>
      </c>
    </row>
    <row r="2027" spans="1:38" x14ac:dyDescent="0.2">
      <c r="A2027" s="2" t="str">
        <f>HYPERLINK("https://www.compass.com/listing/301-west-53rd-street-unit-21j-manhattan-ny-10019/29388178490209777/","301 W 53rd St, Unit 21J")</f>
        <v>301 W 53rd St, Unit 21J</v>
      </c>
      <c r="B2027" s="2" t="str">
        <f t="shared" ref="B2027:B2041" si="341">HYPERLINK("https://www.compass.com/building/fifty-third-and-eighth-manhattan-ny/281944545158031557/","Fifty Third and Eighth")</f>
        <v>Fifty Third and Eighth</v>
      </c>
      <c r="C2027" s="1" t="s">
        <v>57</v>
      </c>
      <c r="D2027" s="1" t="s">
        <v>41</v>
      </c>
      <c r="E2027" s="3">
        <v>1179831</v>
      </c>
      <c r="F2027" s="1">
        <v>1740.1637168141499</v>
      </c>
      <c r="G2027" s="1">
        <v>3</v>
      </c>
      <c r="H2027" s="1">
        <v>1</v>
      </c>
      <c r="I2027" s="1">
        <v>1</v>
      </c>
      <c r="J2027" s="1">
        <v>1</v>
      </c>
      <c r="K2027" s="1">
        <v>1</v>
      </c>
      <c r="M2027" s="1">
        <v>678</v>
      </c>
      <c r="N2027" s="1">
        <v>593</v>
      </c>
      <c r="O2027" s="1">
        <v>1665</v>
      </c>
      <c r="P2027" s="1">
        <v>1072</v>
      </c>
      <c r="Q2027" s="1" t="s">
        <v>42</v>
      </c>
      <c r="S2027" s="1" t="s">
        <v>42</v>
      </c>
      <c r="T2027" s="1" t="s">
        <v>203</v>
      </c>
      <c r="V2027" s="5">
        <v>44338</v>
      </c>
      <c r="W2027" s="5">
        <v>43076</v>
      </c>
      <c r="X2027" s="1">
        <v>1230000</v>
      </c>
      <c r="Y2027" s="1">
        <v>1230000</v>
      </c>
      <c r="Z2027" s="5">
        <v>43076</v>
      </c>
      <c r="AA2027" s="1">
        <v>1179831</v>
      </c>
      <c r="AB2027" s="1" t="s">
        <v>1557</v>
      </c>
      <c r="AC2027" s="5">
        <v>43105</v>
      </c>
      <c r="AF2027" s="1">
        <v>10019</v>
      </c>
      <c r="AI2027" s="1" t="s">
        <v>76</v>
      </c>
      <c r="AJ2027" s="1">
        <v>2017</v>
      </c>
      <c r="AK2027" s="1" t="s">
        <v>50</v>
      </c>
      <c r="AL2027" s="1">
        <v>248</v>
      </c>
    </row>
    <row r="2028" spans="1:38" x14ac:dyDescent="0.2">
      <c r="A2028" s="2" t="str">
        <f>HYPERLINK("https://www.compass.com/listing/301-west-53rd-street-unit-16g-manhattan-ny-10019/29388159414450849/","301 W 53rd St, Unit 16G")</f>
        <v>301 W 53rd St, Unit 16G</v>
      </c>
      <c r="B2028" s="2" t="str">
        <f t="shared" si="341"/>
        <v>Fifty Third and Eighth</v>
      </c>
      <c r="C2028" s="1" t="s">
        <v>57</v>
      </c>
      <c r="D2028" s="1" t="s">
        <v>41</v>
      </c>
      <c r="E2028" s="3">
        <v>1184721</v>
      </c>
      <c r="F2028" s="1">
        <v>1747.3758702064799</v>
      </c>
      <c r="G2028" s="1">
        <v>3</v>
      </c>
      <c r="H2028" s="1">
        <v>1</v>
      </c>
      <c r="I2028" s="1">
        <v>1</v>
      </c>
      <c r="J2028" s="1">
        <v>1</v>
      </c>
      <c r="M2028" s="1">
        <v>678</v>
      </c>
      <c r="N2028" s="1">
        <v>593</v>
      </c>
      <c r="O2028" s="1">
        <v>1362</v>
      </c>
      <c r="P2028" s="1">
        <v>769</v>
      </c>
      <c r="Q2028" s="1" t="s">
        <v>42</v>
      </c>
      <c r="S2028" s="1" t="s">
        <v>42</v>
      </c>
      <c r="T2028" s="1" t="s">
        <v>203</v>
      </c>
      <c r="U2028" s="1">
        <v>480</v>
      </c>
      <c r="V2028" s="5">
        <v>42978</v>
      </c>
      <c r="W2028" s="5">
        <v>42013</v>
      </c>
      <c r="X2028" s="1">
        <v>1205000</v>
      </c>
      <c r="Y2028" s="1">
        <v>1205000</v>
      </c>
      <c r="AA2028" s="1">
        <v>1184720.8400000001</v>
      </c>
      <c r="AB2028" s="1" t="s">
        <v>1558</v>
      </c>
      <c r="AC2028" s="5">
        <v>42494</v>
      </c>
      <c r="AF2028" s="1">
        <v>10019</v>
      </c>
      <c r="AI2028" s="1" t="s">
        <v>76</v>
      </c>
      <c r="AJ2028" s="1">
        <v>2017</v>
      </c>
      <c r="AK2028" s="1" t="s">
        <v>50</v>
      </c>
      <c r="AL2028" s="1">
        <v>248</v>
      </c>
    </row>
    <row r="2029" spans="1:38" x14ac:dyDescent="0.2">
      <c r="A2029" s="2" t="str">
        <f>HYPERLINK("https://www.compass.com/listing/301-west-53rd-street-unit-16j-manhattan-ny-10019/29388160681130673/","301 W 53rd St, Unit 16J")</f>
        <v>301 W 53rd St, Unit 16J</v>
      </c>
      <c r="B2029" s="2" t="str">
        <f t="shared" si="341"/>
        <v>Fifty Third and Eighth</v>
      </c>
      <c r="C2029" s="1" t="s">
        <v>57</v>
      </c>
      <c r="D2029" s="1" t="s">
        <v>41</v>
      </c>
      <c r="E2029" s="3">
        <v>1231712</v>
      </c>
      <c r="F2029" s="1">
        <v>1816.6843657817101</v>
      </c>
      <c r="G2029" s="1">
        <v>3</v>
      </c>
      <c r="H2029" s="1">
        <v>1</v>
      </c>
      <c r="I2029" s="1">
        <v>1</v>
      </c>
      <c r="J2029" s="1">
        <v>1</v>
      </c>
      <c r="K2029" s="1">
        <v>1</v>
      </c>
      <c r="M2029" s="1">
        <v>678</v>
      </c>
      <c r="N2029" s="1">
        <v>579</v>
      </c>
      <c r="O2029" s="1">
        <v>1627</v>
      </c>
      <c r="P2029" s="1">
        <v>1048</v>
      </c>
      <c r="Q2029" s="1" t="s">
        <v>42</v>
      </c>
      <c r="S2029" s="1" t="s">
        <v>42</v>
      </c>
      <c r="T2029" s="1" t="s">
        <v>203</v>
      </c>
      <c r="V2029" s="5">
        <v>44393</v>
      </c>
      <c r="W2029" s="5">
        <v>42704</v>
      </c>
      <c r="X2029" s="1">
        <v>1205000</v>
      </c>
      <c r="Y2029" s="1">
        <v>1205000</v>
      </c>
      <c r="Z2029" s="5">
        <v>42704</v>
      </c>
      <c r="AA2029" s="1">
        <v>1231712</v>
      </c>
      <c r="AB2029" s="1" t="s">
        <v>1559</v>
      </c>
      <c r="AC2029" s="5">
        <v>42717</v>
      </c>
      <c r="AF2029" s="1">
        <v>10019</v>
      </c>
      <c r="AI2029" s="1" t="s">
        <v>76</v>
      </c>
      <c r="AJ2029" s="1">
        <v>2017</v>
      </c>
      <c r="AK2029" s="1" t="s">
        <v>50</v>
      </c>
      <c r="AL2029" s="1">
        <v>248</v>
      </c>
    </row>
    <row r="2030" spans="1:38" x14ac:dyDescent="0.2">
      <c r="A2030" s="2" t="str">
        <f>HYPERLINK("https://www.compass.com/listing/301-west-53rd-street-unit-19g-manhattan-ny-10019/29388171770870641/","301 W 53rd St, Unit 19G")</f>
        <v>301 W 53rd St, Unit 19G</v>
      </c>
      <c r="B2030" s="2" t="str">
        <f t="shared" si="341"/>
        <v>Fifty Third and Eighth</v>
      </c>
      <c r="C2030" s="1" t="s">
        <v>57</v>
      </c>
      <c r="D2030" s="1" t="s">
        <v>41</v>
      </c>
      <c r="E2030" s="3">
        <v>1191048</v>
      </c>
      <c r="F2030" s="1">
        <v>1756.7079646017601</v>
      </c>
      <c r="G2030" s="1">
        <v>3</v>
      </c>
      <c r="H2030" s="1">
        <v>1</v>
      </c>
      <c r="I2030" s="1">
        <v>1</v>
      </c>
      <c r="J2030" s="1">
        <v>1</v>
      </c>
      <c r="M2030" s="1">
        <v>678</v>
      </c>
      <c r="N2030" s="1">
        <v>587</v>
      </c>
      <c r="O2030" s="1">
        <v>1650</v>
      </c>
      <c r="P2030" s="1">
        <v>1063</v>
      </c>
      <c r="Q2030" s="1" t="s">
        <v>42</v>
      </c>
      <c r="S2030" s="1" t="s">
        <v>42</v>
      </c>
      <c r="T2030" s="1" t="s">
        <v>203</v>
      </c>
      <c r="V2030" s="5">
        <v>43664</v>
      </c>
      <c r="W2030" s="5">
        <v>42908</v>
      </c>
      <c r="X2030" s="1">
        <v>1220000</v>
      </c>
      <c r="Y2030" s="1">
        <v>1220000</v>
      </c>
      <c r="Z2030" s="5">
        <v>42908</v>
      </c>
      <c r="AA2030" s="1">
        <v>1191048</v>
      </c>
      <c r="AB2030" s="1" t="s">
        <v>1560</v>
      </c>
      <c r="AC2030" s="5">
        <v>42942</v>
      </c>
      <c r="AF2030" s="1">
        <v>10019</v>
      </c>
      <c r="AI2030" s="1" t="s">
        <v>76</v>
      </c>
      <c r="AJ2030" s="1">
        <v>2017</v>
      </c>
      <c r="AK2030" s="1" t="s">
        <v>50</v>
      </c>
      <c r="AL2030" s="1">
        <v>248</v>
      </c>
    </row>
    <row r="2031" spans="1:38" x14ac:dyDescent="0.2">
      <c r="A2031" s="2" t="str">
        <f>HYPERLINK("https://www.compass.com/listing/301-west-53rd-street-unit-19h-manhattan-ny-10019/29388172198745537/","301 W 53rd St, Unit 19H")</f>
        <v>301 W 53rd St, Unit 19H</v>
      </c>
      <c r="B2031" s="2" t="str">
        <f t="shared" si="341"/>
        <v>Fifty Third and Eighth</v>
      </c>
      <c r="C2031" s="1" t="s">
        <v>57</v>
      </c>
      <c r="D2031" s="1" t="s">
        <v>41</v>
      </c>
      <c r="E2031" s="3">
        <v>1175697</v>
      </c>
      <c r="F2031" s="1">
        <v>1734.0663716814099</v>
      </c>
      <c r="G2031" s="1">
        <v>3</v>
      </c>
      <c r="H2031" s="1">
        <v>1</v>
      </c>
      <c r="I2031" s="1">
        <v>1</v>
      </c>
      <c r="J2031" s="1">
        <v>1</v>
      </c>
      <c r="M2031" s="1">
        <v>678</v>
      </c>
      <c r="N2031" s="1">
        <v>578</v>
      </c>
      <c r="O2031" s="1">
        <v>1623</v>
      </c>
      <c r="P2031" s="1">
        <v>1045</v>
      </c>
      <c r="Q2031" s="1" t="s">
        <v>42</v>
      </c>
      <c r="S2031" s="1" t="s">
        <v>42</v>
      </c>
      <c r="T2031" s="1" t="s">
        <v>203</v>
      </c>
      <c r="V2031" s="5">
        <v>43676</v>
      </c>
      <c r="W2031" s="5">
        <v>42873</v>
      </c>
      <c r="X2031" s="1">
        <v>1205000</v>
      </c>
      <c r="Y2031" s="1">
        <v>1205000</v>
      </c>
      <c r="Z2031" s="5">
        <v>42873</v>
      </c>
      <c r="AA2031" s="1">
        <v>1175697</v>
      </c>
      <c r="AB2031" s="1" t="s">
        <v>1561</v>
      </c>
      <c r="AC2031" s="5">
        <v>42942</v>
      </c>
      <c r="AF2031" s="1">
        <v>10019</v>
      </c>
      <c r="AI2031" s="1" t="s">
        <v>76</v>
      </c>
      <c r="AJ2031" s="1">
        <v>2017</v>
      </c>
      <c r="AK2031" s="1" t="s">
        <v>50</v>
      </c>
      <c r="AL2031" s="1">
        <v>248</v>
      </c>
    </row>
    <row r="2032" spans="1:38" x14ac:dyDescent="0.2">
      <c r="A2032" s="2" t="str">
        <f>HYPERLINK("https://www.compass.com/listing/301-west-53rd-street-unit-22j-manhattan-ny-10019/29388182399301169/","301 W 53rd St, Unit 22J")</f>
        <v>301 W 53rd St, Unit 22J</v>
      </c>
      <c r="B2032" s="2" t="str">
        <f t="shared" si="341"/>
        <v>Fifty Third and Eighth</v>
      </c>
      <c r="C2032" s="1" t="s">
        <v>57</v>
      </c>
      <c r="D2032" s="1" t="s">
        <v>41</v>
      </c>
      <c r="E2032" s="3">
        <v>1154853</v>
      </c>
      <c r="F2032" s="1">
        <v>1703.32300884955</v>
      </c>
      <c r="G2032" s="1">
        <v>3</v>
      </c>
      <c r="H2032" s="1">
        <v>1</v>
      </c>
      <c r="I2032" s="1">
        <v>1</v>
      </c>
      <c r="J2032" s="1">
        <v>1</v>
      </c>
      <c r="M2032" s="1">
        <v>678</v>
      </c>
      <c r="N2032" s="1">
        <v>595</v>
      </c>
      <c r="O2032" s="1">
        <v>1796</v>
      </c>
      <c r="P2032" s="1">
        <v>1201</v>
      </c>
      <c r="Q2032" s="1" t="s">
        <v>42</v>
      </c>
      <c r="S2032" s="1" t="s">
        <v>42</v>
      </c>
      <c r="T2032" s="1" t="s">
        <v>203</v>
      </c>
      <c r="V2032" s="5">
        <v>43673</v>
      </c>
      <c r="W2032" s="5">
        <v>43041</v>
      </c>
      <c r="X2032" s="1">
        <v>1235000</v>
      </c>
      <c r="Y2032" s="1">
        <v>1235000</v>
      </c>
      <c r="Z2032" s="5">
        <v>43041</v>
      </c>
      <c r="AA2032" s="1">
        <v>1154853</v>
      </c>
      <c r="AB2032" s="1" t="s">
        <v>1562</v>
      </c>
      <c r="AC2032" s="5">
        <v>43057</v>
      </c>
      <c r="AF2032" s="1">
        <v>10019</v>
      </c>
      <c r="AI2032" s="1" t="s">
        <v>76</v>
      </c>
      <c r="AJ2032" s="1">
        <v>2017</v>
      </c>
      <c r="AK2032" s="1" t="s">
        <v>50</v>
      </c>
      <c r="AL2032" s="1">
        <v>248</v>
      </c>
    </row>
    <row r="2033" spans="1:38" x14ac:dyDescent="0.2">
      <c r="A2033" s="2" t="str">
        <f>HYPERLINK("https://www.compass.com/listing/301-west-53rd-street-unit-18g-manhattan-ny-10019/29388167979219761/","301 W 53rd St, Unit 18G")</f>
        <v>301 W 53rd St, Unit 18G</v>
      </c>
      <c r="B2033" s="2" t="str">
        <f t="shared" si="341"/>
        <v>Fifty Third and Eighth</v>
      </c>
      <c r="C2033" s="1" t="s">
        <v>57</v>
      </c>
      <c r="D2033" s="1" t="s">
        <v>41</v>
      </c>
      <c r="E2033" s="3">
        <v>1219765</v>
      </c>
      <c r="F2033" s="1">
        <v>1799.0634218288999</v>
      </c>
      <c r="G2033" s="1">
        <v>3</v>
      </c>
      <c r="H2033" s="1">
        <v>1</v>
      </c>
      <c r="I2033" s="1">
        <v>1</v>
      </c>
      <c r="J2033" s="1">
        <v>1</v>
      </c>
      <c r="M2033" s="1">
        <v>678</v>
      </c>
      <c r="N2033" s="1">
        <v>584</v>
      </c>
      <c r="O2033" s="1">
        <v>1642</v>
      </c>
      <c r="P2033" s="1">
        <v>1058</v>
      </c>
      <c r="Q2033" s="1" t="s">
        <v>42</v>
      </c>
      <c r="S2033" s="1" t="s">
        <v>42</v>
      </c>
      <c r="T2033" s="1" t="s">
        <v>203</v>
      </c>
      <c r="V2033" s="5">
        <v>43665</v>
      </c>
      <c r="W2033" s="5">
        <v>42636</v>
      </c>
      <c r="X2033" s="1">
        <v>1215000</v>
      </c>
      <c r="Y2033" s="1">
        <v>1215000</v>
      </c>
      <c r="Z2033" s="5">
        <v>42636</v>
      </c>
      <c r="AA2033" s="1">
        <v>1219765</v>
      </c>
      <c r="AB2033" s="1" t="s">
        <v>1563</v>
      </c>
      <c r="AC2033" s="5">
        <v>42670</v>
      </c>
      <c r="AF2033" s="1">
        <v>10019</v>
      </c>
      <c r="AI2033" s="1" t="s">
        <v>76</v>
      </c>
      <c r="AJ2033" s="1">
        <v>2017</v>
      </c>
      <c r="AK2033" s="1" t="s">
        <v>81</v>
      </c>
      <c r="AL2033" s="1">
        <v>248</v>
      </c>
    </row>
    <row r="2034" spans="1:38" x14ac:dyDescent="0.2">
      <c r="A2034" s="2" t="str">
        <f>HYPERLINK("https://www.compass.com/listing/301-west-53rd-street-unit-16h-manhattan-ny-10019/29388159775216769/","301 W 53rd St, Unit 16H")</f>
        <v>301 W 53rd St, Unit 16H</v>
      </c>
      <c r="B2034" s="2" t="str">
        <f t="shared" si="341"/>
        <v>Fifty Third and Eighth</v>
      </c>
      <c r="C2034" s="1" t="s">
        <v>57</v>
      </c>
      <c r="D2034" s="1" t="s">
        <v>41</v>
      </c>
      <c r="E2034" s="3">
        <v>1033077</v>
      </c>
      <c r="F2034" s="1">
        <v>1548.8411694152901</v>
      </c>
      <c r="G2034" s="1">
        <v>3</v>
      </c>
      <c r="H2034" s="1">
        <v>1</v>
      </c>
      <c r="I2034" s="1">
        <v>1</v>
      </c>
      <c r="J2034" s="1">
        <v>1</v>
      </c>
      <c r="M2034" s="1">
        <v>667</v>
      </c>
      <c r="N2034" s="1">
        <v>570</v>
      </c>
      <c r="O2034" s="1">
        <v>1601</v>
      </c>
      <c r="P2034" s="1">
        <v>1031</v>
      </c>
      <c r="Q2034" s="1" t="s">
        <v>42</v>
      </c>
      <c r="S2034" s="1" t="s">
        <v>42</v>
      </c>
      <c r="T2034" s="1" t="s">
        <v>203</v>
      </c>
      <c r="U2034" s="1">
        <v>760</v>
      </c>
      <c r="V2034" s="5">
        <v>42825</v>
      </c>
      <c r="W2034" s="5">
        <v>42013</v>
      </c>
      <c r="X2034" s="1">
        <v>1190000</v>
      </c>
      <c r="Y2034" s="1">
        <v>1190000</v>
      </c>
      <c r="AA2034" s="1">
        <v>1033077.06</v>
      </c>
      <c r="AB2034" s="1" t="s">
        <v>1549</v>
      </c>
      <c r="AC2034" s="5">
        <v>42863</v>
      </c>
      <c r="AF2034" s="1">
        <v>10019</v>
      </c>
      <c r="AI2034" s="1" t="s">
        <v>76</v>
      </c>
      <c r="AJ2034" s="1">
        <v>2017</v>
      </c>
      <c r="AK2034" s="1" t="s">
        <v>50</v>
      </c>
      <c r="AL2034" s="1">
        <v>248</v>
      </c>
    </row>
    <row r="2035" spans="1:38" x14ac:dyDescent="0.2">
      <c r="A2035" s="2" t="str">
        <f>HYPERLINK("https://www.compass.com/listing/301-west-53rd-street-unit-17j-manhattan-ny-10019/29388165538134785/","301 W 53rd St, Unit 17J")</f>
        <v>301 W 53rd St, Unit 17J</v>
      </c>
      <c r="B2035" s="2" t="str">
        <f t="shared" si="341"/>
        <v>Fifty Third and Eighth</v>
      </c>
      <c r="C2035" s="1" t="s">
        <v>57</v>
      </c>
      <c r="D2035" s="1" t="s">
        <v>41</v>
      </c>
      <c r="E2035" s="3">
        <v>1048449</v>
      </c>
      <c r="F2035" s="1">
        <v>1546.3849557522101</v>
      </c>
      <c r="G2035" s="1">
        <v>3</v>
      </c>
      <c r="H2035" s="1">
        <v>1</v>
      </c>
      <c r="I2035" s="1">
        <v>1</v>
      </c>
      <c r="J2035" s="1">
        <v>1</v>
      </c>
      <c r="M2035" s="1">
        <v>678</v>
      </c>
      <c r="N2035" s="1">
        <v>582</v>
      </c>
      <c r="O2035" s="1">
        <v>1635</v>
      </c>
      <c r="P2035" s="1">
        <v>1053</v>
      </c>
      <c r="Q2035" s="1" t="s">
        <v>42</v>
      </c>
      <c r="S2035" s="1" t="s">
        <v>42</v>
      </c>
      <c r="T2035" s="1" t="s">
        <v>203</v>
      </c>
      <c r="U2035" s="1">
        <v>3</v>
      </c>
      <c r="V2035" s="5">
        <v>43668</v>
      </c>
      <c r="W2035" s="5">
        <v>42846</v>
      </c>
      <c r="X2035" s="1">
        <v>1025000</v>
      </c>
      <c r="Y2035" s="1">
        <v>1025000</v>
      </c>
      <c r="Z2035" s="5">
        <v>42849</v>
      </c>
      <c r="AA2035" s="1">
        <v>1048449</v>
      </c>
      <c r="AB2035" s="1" t="s">
        <v>1564</v>
      </c>
      <c r="AC2035" s="5">
        <v>42910</v>
      </c>
      <c r="AF2035" s="1">
        <v>10019</v>
      </c>
      <c r="AI2035" s="1" t="s">
        <v>76</v>
      </c>
      <c r="AJ2035" s="1">
        <v>2017</v>
      </c>
      <c r="AK2035" s="1" t="s">
        <v>50</v>
      </c>
      <c r="AL2035" s="1">
        <v>248</v>
      </c>
    </row>
    <row r="2036" spans="1:38" x14ac:dyDescent="0.2">
      <c r="A2036" s="2" t="str">
        <f>HYPERLINK("https://www.compass.com/listing/301-west-53rd-street-unit-18h-manhattan-ny-10019/29388168415483249/","301 W 53rd St, Unit 18H")</f>
        <v>301 W 53rd St, Unit 18H</v>
      </c>
      <c r="B2036" s="2" t="str">
        <f t="shared" si="341"/>
        <v>Fifty Third and Eighth</v>
      </c>
      <c r="C2036" s="1" t="s">
        <v>57</v>
      </c>
      <c r="D2036" s="1" t="s">
        <v>41</v>
      </c>
      <c r="E2036" s="3">
        <v>1058577</v>
      </c>
      <c r="F2036" s="1">
        <v>1587.07196401799</v>
      </c>
      <c r="G2036" s="1">
        <v>3</v>
      </c>
      <c r="H2036" s="1">
        <v>1</v>
      </c>
      <c r="I2036" s="1">
        <v>1</v>
      </c>
      <c r="J2036" s="1">
        <v>1</v>
      </c>
      <c r="K2036" s="1">
        <v>1</v>
      </c>
      <c r="M2036" s="1">
        <v>667</v>
      </c>
      <c r="N2036" s="1">
        <v>575</v>
      </c>
      <c r="O2036" s="1">
        <v>1616</v>
      </c>
      <c r="P2036" s="1">
        <v>1041</v>
      </c>
      <c r="Q2036" s="1" t="s">
        <v>42</v>
      </c>
      <c r="S2036" s="1" t="s">
        <v>42</v>
      </c>
      <c r="T2036" s="1" t="s">
        <v>203</v>
      </c>
      <c r="U2036" s="1">
        <v>1</v>
      </c>
      <c r="V2036" s="5">
        <v>44225</v>
      </c>
      <c r="W2036" s="5">
        <v>42850</v>
      </c>
      <c r="X2036" s="1">
        <v>1035000</v>
      </c>
      <c r="Y2036" s="1">
        <v>1035000</v>
      </c>
      <c r="Z2036" s="5">
        <v>42851</v>
      </c>
      <c r="AA2036" s="1">
        <v>1058577</v>
      </c>
      <c r="AB2036" s="1" t="s">
        <v>1565</v>
      </c>
      <c r="AC2036" s="5">
        <v>42874</v>
      </c>
      <c r="AF2036" s="1">
        <v>10019</v>
      </c>
      <c r="AI2036" s="1" t="s">
        <v>76</v>
      </c>
      <c r="AJ2036" s="1">
        <v>2017</v>
      </c>
      <c r="AK2036" s="1" t="s">
        <v>50</v>
      </c>
      <c r="AL2036" s="1">
        <v>248</v>
      </c>
    </row>
    <row r="2037" spans="1:38" x14ac:dyDescent="0.2">
      <c r="A2037" s="2" t="str">
        <f>HYPERLINK("https://www.compass.com/listing/301-west-53rd-street-unit-18i-manhattan-ny-10019/29388168935585089/","301 W 53rd St, Unit 18I")</f>
        <v>301 W 53rd St, Unit 18I</v>
      </c>
      <c r="B2037" s="2" t="str">
        <f t="shared" si="341"/>
        <v>Fifty Third and Eighth</v>
      </c>
      <c r="C2037" s="1" t="s">
        <v>57</v>
      </c>
      <c r="D2037" s="1" t="s">
        <v>41</v>
      </c>
      <c r="E2037" s="3">
        <v>1058577</v>
      </c>
      <c r="F2037" s="1">
        <v>1512.25285714285</v>
      </c>
      <c r="G2037" s="1">
        <v>3</v>
      </c>
      <c r="H2037" s="1">
        <v>1</v>
      </c>
      <c r="I2037" s="1">
        <v>1</v>
      </c>
      <c r="J2037" s="1">
        <v>1</v>
      </c>
      <c r="K2037" s="1">
        <v>1</v>
      </c>
      <c r="M2037" s="1">
        <v>700</v>
      </c>
      <c r="N2037" s="1">
        <v>575</v>
      </c>
      <c r="O2037" s="1">
        <v>1616</v>
      </c>
      <c r="P2037" s="1">
        <v>1041</v>
      </c>
      <c r="Q2037" s="1" t="s">
        <v>42</v>
      </c>
      <c r="S2037" s="1" t="s">
        <v>42</v>
      </c>
      <c r="T2037" s="1" t="s">
        <v>203</v>
      </c>
      <c r="U2037" s="1">
        <v>43</v>
      </c>
      <c r="V2037" s="5">
        <v>44225</v>
      </c>
      <c r="W2037" s="5">
        <v>42823</v>
      </c>
      <c r="X2037" s="1">
        <v>1035000</v>
      </c>
      <c r="Y2037" s="1">
        <v>1035000</v>
      </c>
      <c r="Z2037" s="5">
        <v>42866</v>
      </c>
      <c r="AA2037" s="1">
        <v>1058577</v>
      </c>
      <c r="AB2037" s="1" t="s">
        <v>1566</v>
      </c>
      <c r="AC2037" s="5">
        <v>42914</v>
      </c>
      <c r="AF2037" s="1">
        <v>10019</v>
      </c>
      <c r="AI2037" s="1" t="s">
        <v>76</v>
      </c>
      <c r="AJ2037" s="1">
        <v>2017</v>
      </c>
      <c r="AK2037" s="1" t="s">
        <v>81</v>
      </c>
      <c r="AL2037" s="1">
        <v>248</v>
      </c>
    </row>
    <row r="2038" spans="1:38" x14ac:dyDescent="0.2">
      <c r="A2038" s="2" t="str">
        <f>HYPERLINK("https://www.compass.com/listing/301-west-53rd-street-unit-20h-manhattan-ny-10019/29507301337577905/","301 W 53rd St, Unit 20H")</f>
        <v>301 W 53rd St, Unit 20H</v>
      </c>
      <c r="B2038" s="2" t="str">
        <f t="shared" si="341"/>
        <v>Fifty Third and Eighth</v>
      </c>
      <c r="C2038" s="1" t="s">
        <v>57</v>
      </c>
      <c r="D2038" s="1" t="s">
        <v>41</v>
      </c>
      <c r="E2038" s="3">
        <v>1144526</v>
      </c>
      <c r="F2038" s="1">
        <v>1715.93103448275</v>
      </c>
      <c r="G2038" s="1">
        <v>2</v>
      </c>
      <c r="H2038" s="1">
        <v>1</v>
      </c>
      <c r="I2038" s="1">
        <v>1</v>
      </c>
      <c r="J2038" s="1">
        <v>1</v>
      </c>
      <c r="M2038" s="1">
        <v>667</v>
      </c>
      <c r="N2038" s="1">
        <v>580</v>
      </c>
      <c r="O2038" s="1">
        <v>1751</v>
      </c>
      <c r="P2038" s="1">
        <v>1171</v>
      </c>
      <c r="Q2038" s="1" t="s">
        <v>42</v>
      </c>
      <c r="S2038" s="1" t="s">
        <v>42</v>
      </c>
      <c r="T2038" s="1" t="s">
        <v>203</v>
      </c>
      <c r="U2038" s="1">
        <v>168</v>
      </c>
      <c r="V2038" s="5">
        <v>43689</v>
      </c>
      <c r="W2038" s="5">
        <v>43159</v>
      </c>
      <c r="X2038" s="1">
        <v>1210000</v>
      </c>
      <c r="Y2038" s="1">
        <v>1210000</v>
      </c>
      <c r="Z2038" s="5">
        <v>43328</v>
      </c>
      <c r="AA2038" s="1">
        <v>1144526</v>
      </c>
      <c r="AB2038" s="1" t="s">
        <v>1567</v>
      </c>
      <c r="AC2038" s="5">
        <v>43356</v>
      </c>
      <c r="AF2038" s="1">
        <v>10019</v>
      </c>
      <c r="AI2038" s="1" t="s">
        <v>76</v>
      </c>
      <c r="AJ2038" s="1">
        <v>2017</v>
      </c>
      <c r="AK2038" s="1" t="s">
        <v>50</v>
      </c>
      <c r="AL2038" s="1">
        <v>248</v>
      </c>
    </row>
    <row r="2039" spans="1:38" x14ac:dyDescent="0.2">
      <c r="A2039" s="2" t="str">
        <f>HYPERLINK("https://www.compass.com/listing/301-west-53rd-street-unit-24h-manhattan-ny-10019/99806163603889281/","301 W 53rd St, Unit 24H")</f>
        <v>301 W 53rd St, Unit 24H</v>
      </c>
      <c r="B2039" s="2" t="str">
        <f t="shared" si="341"/>
        <v>Fifty Third and Eighth</v>
      </c>
      <c r="C2039" s="1" t="s">
        <v>57</v>
      </c>
      <c r="D2039" s="1" t="s">
        <v>41</v>
      </c>
      <c r="E2039" s="3">
        <v>1164817</v>
      </c>
      <c r="F2039" s="1">
        <v>1746.3523238380801</v>
      </c>
      <c r="G2039" s="1">
        <v>3</v>
      </c>
      <c r="H2039" s="1">
        <v>1</v>
      </c>
      <c r="I2039" s="1">
        <v>1</v>
      </c>
      <c r="J2039" s="1">
        <v>1</v>
      </c>
      <c r="K2039" s="1">
        <v>1</v>
      </c>
      <c r="M2039" s="1">
        <v>667</v>
      </c>
      <c r="N2039" s="1">
        <v>650</v>
      </c>
      <c r="O2039" s="1">
        <v>1614</v>
      </c>
      <c r="P2039" s="1">
        <v>964</v>
      </c>
      <c r="Q2039" s="1" t="s">
        <v>42</v>
      </c>
      <c r="S2039" s="1" t="s">
        <v>42</v>
      </c>
      <c r="T2039" s="1" t="s">
        <v>203</v>
      </c>
      <c r="U2039" s="1">
        <v>190</v>
      </c>
      <c r="V2039" s="5">
        <v>43717</v>
      </c>
      <c r="W2039" s="5">
        <v>43390</v>
      </c>
      <c r="X2039" s="1">
        <v>1230000</v>
      </c>
      <c r="Y2039" s="1">
        <v>1230000</v>
      </c>
      <c r="Z2039" s="5">
        <v>43581</v>
      </c>
      <c r="AA2039" s="1">
        <v>1164817</v>
      </c>
      <c r="AB2039" s="1" t="s">
        <v>1568</v>
      </c>
      <c r="AC2039" s="5">
        <v>43703</v>
      </c>
      <c r="AF2039" s="1">
        <v>10019</v>
      </c>
      <c r="AI2039" s="1" t="s">
        <v>76</v>
      </c>
      <c r="AJ2039" s="1">
        <v>2017</v>
      </c>
      <c r="AK2039" s="1" t="s">
        <v>50</v>
      </c>
      <c r="AL2039" s="1">
        <v>248</v>
      </c>
    </row>
    <row r="2040" spans="1:38" x14ac:dyDescent="0.2">
      <c r="A2040" s="2" t="str">
        <f>HYPERLINK("https://www.compass.com/listing/301-west-53rd-street-unit-24i-manhattan-ny-10019/29507301656270737/","301 W 53rd St, Unit 24I")</f>
        <v>301 W 53rd St, Unit 24I</v>
      </c>
      <c r="B2040" s="2" t="str">
        <f t="shared" si="341"/>
        <v>Fifty Third and Eighth</v>
      </c>
      <c r="C2040" s="1" t="s">
        <v>57</v>
      </c>
      <c r="D2040" s="1" t="s">
        <v>41</v>
      </c>
      <c r="E2040" s="3">
        <v>1020000</v>
      </c>
      <c r="F2040" s="1">
        <v>1529.2353823088399</v>
      </c>
      <c r="G2040" s="1">
        <v>3</v>
      </c>
      <c r="H2040" s="1">
        <v>1</v>
      </c>
      <c r="I2040" s="1">
        <v>1</v>
      </c>
      <c r="J2040" s="1">
        <v>1</v>
      </c>
      <c r="K2040" s="1">
        <v>1</v>
      </c>
      <c r="M2040" s="1">
        <v>667</v>
      </c>
      <c r="N2040" s="1">
        <v>650</v>
      </c>
      <c r="O2040" s="1">
        <v>1802</v>
      </c>
      <c r="P2040" s="1">
        <v>1152</v>
      </c>
      <c r="Q2040" s="1" t="s">
        <v>42</v>
      </c>
      <c r="S2040" s="1" t="s">
        <v>42</v>
      </c>
      <c r="T2040" s="1" t="s">
        <v>203</v>
      </c>
      <c r="U2040" s="1">
        <v>333</v>
      </c>
      <c r="V2040" s="5">
        <v>44427</v>
      </c>
      <c r="W2040" s="5">
        <v>43650</v>
      </c>
      <c r="Y2040" s="1">
        <v>1195000</v>
      </c>
      <c r="Z2040" s="5">
        <v>44077</v>
      </c>
      <c r="AA2040" s="1">
        <v>1020000</v>
      </c>
      <c r="AB2040" s="1" t="s">
        <v>1569</v>
      </c>
      <c r="AC2040" s="5">
        <v>44344</v>
      </c>
      <c r="AF2040" s="1">
        <v>10019</v>
      </c>
      <c r="AI2040" s="1" t="s">
        <v>154</v>
      </c>
      <c r="AJ2040" s="1">
        <v>2017</v>
      </c>
      <c r="AK2040" s="1" t="s">
        <v>50</v>
      </c>
      <c r="AL2040" s="1">
        <v>248</v>
      </c>
    </row>
    <row r="2041" spans="1:38" x14ac:dyDescent="0.2">
      <c r="A2041" s="2" t="str">
        <f>HYPERLINK("https://www.compass.com/listing/301-west-53rd-street-unit-25g-manhattan-ny-10019/29388191903594193/","301 W 53rd St, Unit 25G")</f>
        <v>301 W 53rd St, Unit 25G</v>
      </c>
      <c r="B2041" s="2" t="str">
        <f t="shared" si="341"/>
        <v>Fifty Third and Eighth</v>
      </c>
      <c r="C2041" s="1" t="s">
        <v>57</v>
      </c>
      <c r="D2041" s="1" t="s">
        <v>41</v>
      </c>
      <c r="E2041" s="3">
        <v>1271370</v>
      </c>
      <c r="F2041" s="1">
        <v>1875.17699115044</v>
      </c>
      <c r="G2041" s="1">
        <v>3</v>
      </c>
      <c r="H2041" s="1">
        <v>1</v>
      </c>
      <c r="I2041" s="1">
        <v>1</v>
      </c>
      <c r="J2041" s="1">
        <v>1</v>
      </c>
      <c r="K2041" s="1">
        <v>1</v>
      </c>
      <c r="M2041" s="1">
        <v>678</v>
      </c>
      <c r="N2041" s="1">
        <v>618</v>
      </c>
      <c r="O2041" s="1">
        <v>1419</v>
      </c>
      <c r="P2041" s="1">
        <v>801</v>
      </c>
      <c r="Q2041" s="1" t="s">
        <v>42</v>
      </c>
      <c r="S2041" s="1" t="s">
        <v>42</v>
      </c>
      <c r="T2041" s="1" t="s">
        <v>203</v>
      </c>
      <c r="V2041" s="5">
        <v>44225</v>
      </c>
      <c r="W2041" s="5">
        <v>42354</v>
      </c>
      <c r="X2041" s="1">
        <v>1255000</v>
      </c>
      <c r="Y2041" s="1">
        <v>1255000</v>
      </c>
      <c r="Z2041" s="5">
        <v>42354</v>
      </c>
      <c r="AA2041" s="1">
        <v>1271370</v>
      </c>
      <c r="AB2041" s="1" t="s">
        <v>1570</v>
      </c>
      <c r="AC2041" s="5">
        <v>42392</v>
      </c>
      <c r="AF2041" s="1">
        <v>10019</v>
      </c>
      <c r="AI2041" s="1" t="s">
        <v>153</v>
      </c>
      <c r="AJ2041" s="1">
        <v>2017</v>
      </c>
      <c r="AK2041" s="1" t="s">
        <v>50</v>
      </c>
      <c r="AL2041" s="1">
        <v>248</v>
      </c>
    </row>
    <row r="2042" spans="1:38" x14ac:dyDescent="0.2">
      <c r="A2042" s="2" t="str">
        <f>HYPERLINK("https://www.compass.com/listing/375-west-123rd-street-unit-7c-manhattan-ny-10027/715151084489293761/","375 W 123rd St, Unit 7C")</f>
        <v>375 W 123rd St, Unit 7C</v>
      </c>
      <c r="B2042" s="2" t="str">
        <f>HYPERLINK("https://www.compass.com/building/99-morningside-manhattan-ny/281983676789660549/","99 Morningside")</f>
        <v>99 Morningside</v>
      </c>
      <c r="C2042" s="1" t="s">
        <v>131</v>
      </c>
      <c r="D2042" s="1" t="s">
        <v>41</v>
      </c>
      <c r="E2042" s="3">
        <v>709000</v>
      </c>
      <c r="F2042" s="1">
        <v>1272.89048473967</v>
      </c>
      <c r="G2042" s="1">
        <v>3</v>
      </c>
      <c r="H2042" s="1">
        <v>1</v>
      </c>
      <c r="I2042" s="1">
        <v>1</v>
      </c>
      <c r="J2042" s="1">
        <v>1</v>
      </c>
      <c r="K2042" s="1">
        <v>1</v>
      </c>
      <c r="M2042" s="1">
        <v>557</v>
      </c>
      <c r="N2042" s="1">
        <v>511</v>
      </c>
      <c r="O2042" s="1">
        <v>555</v>
      </c>
      <c r="P2042" s="1">
        <v>44</v>
      </c>
      <c r="Q2042" s="1" t="s">
        <v>42</v>
      </c>
      <c r="S2042" s="1" t="s">
        <v>42</v>
      </c>
      <c r="T2042" s="1" t="s">
        <v>203</v>
      </c>
      <c r="U2042" s="1">
        <v>91</v>
      </c>
      <c r="V2042" s="5">
        <v>44417</v>
      </c>
      <c r="W2042" s="5">
        <v>44238</v>
      </c>
      <c r="X2042" s="1">
        <v>719000</v>
      </c>
      <c r="Y2042" s="1">
        <v>719000</v>
      </c>
      <c r="Z2042" s="5">
        <v>44330</v>
      </c>
      <c r="AA2042" s="1">
        <v>709000</v>
      </c>
      <c r="AB2042" s="1" t="s">
        <v>204</v>
      </c>
      <c r="AC2042" s="5">
        <v>44413</v>
      </c>
      <c r="AF2042" s="1">
        <v>10027</v>
      </c>
      <c r="AI2042" s="1" t="s">
        <v>132</v>
      </c>
      <c r="AJ2042" s="1">
        <v>2016</v>
      </c>
      <c r="AK2042" s="1" t="s">
        <v>133</v>
      </c>
      <c r="AL2042" s="1">
        <v>22</v>
      </c>
    </row>
    <row r="2043" spans="1:38" x14ac:dyDescent="0.2">
      <c r="A2043" s="2" t="str">
        <f>HYPERLINK("https://www.compass.com/listing/301-west-53rd-street-unit-21g-manhattan-ny-10019/29388177097700833/","301 W 53rd St, Unit 21G")</f>
        <v>301 W 53rd St, Unit 21G</v>
      </c>
      <c r="B2043" s="2" t="str">
        <f t="shared" ref="B2043:B2044" si="342">HYPERLINK("https://www.compass.com/building/fifty-third-and-eighth-manhattan-ny/281944545158031557/","Fifty Third and Eighth")</f>
        <v>Fifty Third and Eighth</v>
      </c>
      <c r="C2043" s="1" t="s">
        <v>57</v>
      </c>
      <c r="D2043" s="1" t="s">
        <v>41</v>
      </c>
      <c r="E2043" s="3">
        <v>1179831</v>
      </c>
      <c r="F2043" s="1">
        <v>1740.1637168141499</v>
      </c>
      <c r="G2043" s="1">
        <v>3</v>
      </c>
      <c r="H2043" s="1">
        <v>1</v>
      </c>
      <c r="I2043" s="1">
        <v>1</v>
      </c>
      <c r="J2043" s="1">
        <v>1</v>
      </c>
      <c r="M2043" s="1">
        <v>678</v>
      </c>
      <c r="N2043" s="1">
        <v>593</v>
      </c>
      <c r="O2043" s="1">
        <v>1665</v>
      </c>
      <c r="P2043" s="1">
        <v>1072</v>
      </c>
      <c r="Q2043" s="1" t="s">
        <v>42</v>
      </c>
      <c r="S2043" s="1" t="s">
        <v>42</v>
      </c>
      <c r="T2043" s="1" t="s">
        <v>203</v>
      </c>
      <c r="U2043" s="1">
        <v>89</v>
      </c>
      <c r="V2043" s="5">
        <v>43668</v>
      </c>
      <c r="W2043" s="5">
        <v>42804</v>
      </c>
      <c r="X2043" s="1">
        <v>1230000</v>
      </c>
      <c r="Y2043" s="1">
        <v>1230000</v>
      </c>
      <c r="Z2043" s="5">
        <v>42893</v>
      </c>
      <c r="AA2043" s="1">
        <v>1179831</v>
      </c>
      <c r="AB2043" s="1" t="s">
        <v>1571</v>
      </c>
      <c r="AC2043" s="5">
        <v>42970</v>
      </c>
      <c r="AF2043" s="1">
        <v>10019</v>
      </c>
      <c r="AI2043" s="1" t="s">
        <v>76</v>
      </c>
      <c r="AJ2043" s="1">
        <v>2017</v>
      </c>
      <c r="AK2043" s="1" t="s">
        <v>50</v>
      </c>
      <c r="AL2043" s="1">
        <v>248</v>
      </c>
    </row>
    <row r="2044" spans="1:38" x14ac:dyDescent="0.2">
      <c r="A2044" s="2" t="str">
        <f>HYPERLINK("https://www.compass.com/listing/301-west-53rd-street-unit-21i-manhattan-ny-10019/29388177961719329/","301 W 53rd St, Unit 21I")</f>
        <v>301 W 53rd St, Unit 21I</v>
      </c>
      <c r="B2044" s="2" t="str">
        <f t="shared" si="342"/>
        <v>Fifty Third and Eighth</v>
      </c>
      <c r="C2044" s="1" t="s">
        <v>57</v>
      </c>
      <c r="D2044" s="1" t="s">
        <v>41</v>
      </c>
      <c r="E2044" s="3">
        <v>1215000</v>
      </c>
      <c r="F2044" s="1">
        <v>1821.5892053973</v>
      </c>
      <c r="G2044" s="1">
        <v>3</v>
      </c>
      <c r="H2044" s="1">
        <v>1</v>
      </c>
      <c r="I2044" s="1">
        <v>1</v>
      </c>
      <c r="J2044" s="1">
        <v>1</v>
      </c>
      <c r="M2044" s="1">
        <v>667</v>
      </c>
      <c r="N2044" s="1">
        <v>583</v>
      </c>
      <c r="O2044" s="1">
        <v>1638</v>
      </c>
      <c r="P2044" s="1">
        <v>1055</v>
      </c>
      <c r="Q2044" s="1" t="s">
        <v>42</v>
      </c>
      <c r="S2044" s="1" t="s">
        <v>42</v>
      </c>
      <c r="T2044" s="1" t="s">
        <v>203</v>
      </c>
      <c r="V2044" s="5">
        <v>43694</v>
      </c>
      <c r="W2044" s="5">
        <v>43007</v>
      </c>
      <c r="X2044" s="1">
        <v>1215000</v>
      </c>
      <c r="Y2044" s="1">
        <v>1215000</v>
      </c>
      <c r="Z2044" s="5">
        <v>43007</v>
      </c>
      <c r="AA2044" s="1">
        <v>1215000</v>
      </c>
      <c r="AB2044" s="1" t="s">
        <v>204</v>
      </c>
      <c r="AC2044" s="5">
        <v>43040</v>
      </c>
      <c r="AF2044" s="1">
        <v>10019</v>
      </c>
      <c r="AI2044" s="1" t="s">
        <v>76</v>
      </c>
      <c r="AJ2044" s="1">
        <v>2017</v>
      </c>
      <c r="AK2044" s="1" t="s">
        <v>50</v>
      </c>
      <c r="AL2044" s="1">
        <v>248</v>
      </c>
    </row>
    <row r="2045" spans="1:38" x14ac:dyDescent="0.2">
      <c r="A2045" s="2" t="str">
        <f>HYPERLINK("https://www.compass.com/listing/215-west-122nd-street-unit-2-manhattan-ny-10027/70920865453278785/","215 W 122nd St, Unit 2")</f>
        <v>215 W 122nd St, Unit 2</v>
      </c>
      <c r="B2045" s="2" t="str">
        <f>HYPERLINK("https://www.compass.com/building/215-w-122nd-st-manhattan-ny-10027/281980069470110005/","215 W 122nd St")</f>
        <v>215 W 122nd St</v>
      </c>
      <c r="C2045" s="1" t="s">
        <v>131</v>
      </c>
      <c r="D2045" s="1" t="s">
        <v>41</v>
      </c>
      <c r="E2045" s="3">
        <v>1200000</v>
      </c>
      <c r="F2045" s="1">
        <v>1047.1204188481599</v>
      </c>
      <c r="G2045" s="1">
        <v>5</v>
      </c>
      <c r="H2045" s="1">
        <v>2</v>
      </c>
      <c r="I2045" s="1">
        <v>2</v>
      </c>
      <c r="J2045" s="1">
        <v>2</v>
      </c>
      <c r="K2045" s="1">
        <v>2</v>
      </c>
      <c r="M2045" s="4">
        <v>1146</v>
      </c>
      <c r="N2045" s="1">
        <v>650</v>
      </c>
      <c r="O2045" s="1">
        <v>1228</v>
      </c>
      <c r="P2045" s="1">
        <v>578</v>
      </c>
      <c r="Q2045" s="1" t="s">
        <v>42</v>
      </c>
      <c r="S2045" s="1" t="s">
        <v>42</v>
      </c>
      <c r="T2045" s="1" t="s">
        <v>203</v>
      </c>
      <c r="U2045" s="1">
        <v>1</v>
      </c>
      <c r="V2045" s="5">
        <v>43694</v>
      </c>
      <c r="W2045" s="5">
        <v>43573</v>
      </c>
      <c r="X2045" s="1">
        <v>1275000</v>
      </c>
      <c r="Y2045" s="1">
        <v>1275000</v>
      </c>
      <c r="Z2045" s="5">
        <v>43574</v>
      </c>
      <c r="AA2045" s="1">
        <v>1200000</v>
      </c>
      <c r="AB2045" s="1" t="s">
        <v>1572</v>
      </c>
      <c r="AC2045" s="5">
        <v>43640</v>
      </c>
      <c r="AF2045" s="1">
        <v>10027</v>
      </c>
      <c r="AI2045" s="1" t="s">
        <v>1270</v>
      </c>
      <c r="AJ2045" s="1">
        <v>2018</v>
      </c>
      <c r="AL2045" s="1">
        <v>6</v>
      </c>
    </row>
    <row r="2046" spans="1:38" x14ac:dyDescent="0.2">
      <c r="A2046" s="2" t="str">
        <f>HYPERLINK("https://www.compass.com/listing/301-west-53rd-street-unit-13j-manhattan-ny-10019/155501979811040833/","301 W 53rd St, Unit 13J")</f>
        <v>301 W 53rd St, Unit 13J</v>
      </c>
      <c r="B2046" s="2" t="str">
        <f t="shared" ref="B2046:B2052" si="343">HYPERLINK("https://www.compass.com/building/fifty-third-and-eighth-manhattan-ny/281944545158031557/","Fifty Third and Eighth")</f>
        <v>Fifty Third and Eighth</v>
      </c>
      <c r="C2046" s="1" t="s">
        <v>57</v>
      </c>
      <c r="D2046" s="1" t="s">
        <v>41</v>
      </c>
      <c r="E2046" s="3">
        <v>995000</v>
      </c>
      <c r="F2046" s="1">
        <v>1467.55162241887</v>
      </c>
      <c r="H2046" s="1">
        <v>1</v>
      </c>
      <c r="J2046" s="1">
        <v>1</v>
      </c>
      <c r="M2046" s="1">
        <v>678</v>
      </c>
      <c r="N2046" s="1">
        <v>569</v>
      </c>
      <c r="O2046" s="1">
        <v>1387</v>
      </c>
      <c r="P2046" s="1">
        <v>818</v>
      </c>
      <c r="Q2046" s="1" t="s">
        <v>42</v>
      </c>
      <c r="S2046" s="1" t="s">
        <v>42</v>
      </c>
      <c r="T2046" s="1" t="s">
        <v>203</v>
      </c>
      <c r="AA2046" s="1">
        <v>995000</v>
      </c>
      <c r="AB2046" s="1" t="s">
        <v>1573</v>
      </c>
      <c r="AC2046" s="5">
        <v>43448</v>
      </c>
      <c r="AF2046" s="1">
        <v>10019</v>
      </c>
      <c r="AI2046" s="1" t="s">
        <v>76</v>
      </c>
      <c r="AJ2046" s="1">
        <v>2017</v>
      </c>
      <c r="AK2046" s="1" t="s">
        <v>50</v>
      </c>
      <c r="AL2046" s="1">
        <v>248</v>
      </c>
    </row>
    <row r="2047" spans="1:38" x14ac:dyDescent="0.2">
      <c r="A2047" s="2" t="str">
        <f>HYPERLINK("https://www.compass.com/listing/301-west-53rd-street-unit-20g-manhattan-ny-10019/216556422643679201/","301 W 53rd St, Unit 20G")</f>
        <v>301 W 53rd St, Unit 20G</v>
      </c>
      <c r="B2047" s="2" t="str">
        <f t="shared" si="343"/>
        <v>Fifty Third and Eighth</v>
      </c>
      <c r="C2047" s="1" t="s">
        <v>57</v>
      </c>
      <c r="D2047" s="1" t="s">
        <v>41</v>
      </c>
      <c r="E2047" s="3">
        <v>950000</v>
      </c>
      <c r="H2047" s="1">
        <v>1</v>
      </c>
      <c r="I2047" s="1">
        <v>1</v>
      </c>
      <c r="J2047" s="1">
        <v>1</v>
      </c>
      <c r="K2047" s="1">
        <v>1</v>
      </c>
      <c r="O2047" s="1">
        <v>128</v>
      </c>
      <c r="P2047" s="1">
        <v>128</v>
      </c>
      <c r="Q2047" s="1" t="s">
        <v>1574</v>
      </c>
      <c r="R2047" s="1" t="s">
        <v>42</v>
      </c>
      <c r="S2047" s="1" t="s">
        <v>42</v>
      </c>
      <c r="T2047" s="1" t="s">
        <v>203</v>
      </c>
      <c r="V2047" s="5">
        <v>43550</v>
      </c>
      <c r="W2047" s="5">
        <v>43479</v>
      </c>
      <c r="X2047" s="1">
        <v>950000</v>
      </c>
      <c r="Y2047" s="1">
        <v>950000</v>
      </c>
      <c r="Z2047" s="5">
        <v>43479</v>
      </c>
      <c r="AA2047" s="1">
        <v>950000</v>
      </c>
      <c r="AB2047" s="1" t="s">
        <v>204</v>
      </c>
      <c r="AC2047" s="5">
        <v>43479</v>
      </c>
      <c r="AF2047" s="1">
        <v>10019</v>
      </c>
      <c r="AI2047" s="1" t="s">
        <v>76</v>
      </c>
      <c r="AJ2047" s="1">
        <v>2017</v>
      </c>
      <c r="AK2047" s="1" t="s">
        <v>50</v>
      </c>
      <c r="AL2047" s="1">
        <v>248</v>
      </c>
    </row>
    <row r="2048" spans="1:38" x14ac:dyDescent="0.2">
      <c r="A2048" s="2" t="str">
        <f>HYPERLINK("https://www.compass.com/listing/301-west-53rd-street-unit-5i-manhattan-ny-10019/29388114510231217/","301 W 53rd St, Unit 5I")</f>
        <v>301 W 53rd St, Unit 5I</v>
      </c>
      <c r="B2048" s="2" t="str">
        <f t="shared" si="343"/>
        <v>Fifty Third and Eighth</v>
      </c>
      <c r="C2048" s="1" t="s">
        <v>57</v>
      </c>
      <c r="D2048" s="1" t="s">
        <v>41</v>
      </c>
      <c r="E2048" s="3">
        <v>978405</v>
      </c>
      <c r="F2048" s="1">
        <v>1466.87383808095</v>
      </c>
      <c r="H2048" s="1">
        <v>1</v>
      </c>
      <c r="J2048" s="1">
        <v>1</v>
      </c>
      <c r="M2048" s="1">
        <v>667</v>
      </c>
      <c r="N2048" s="1">
        <v>553</v>
      </c>
      <c r="O2048" s="1">
        <v>1270</v>
      </c>
      <c r="P2048" s="1">
        <v>717</v>
      </c>
      <c r="Q2048" s="1" t="s">
        <v>42</v>
      </c>
      <c r="S2048" s="1" t="s">
        <v>42</v>
      </c>
      <c r="T2048" s="1" t="s">
        <v>203</v>
      </c>
      <c r="AA2048" s="1">
        <v>978404.85</v>
      </c>
      <c r="AB2048" s="1" t="s">
        <v>1575</v>
      </c>
      <c r="AC2048" s="5">
        <v>42339</v>
      </c>
      <c r="AF2048" s="1">
        <v>10019</v>
      </c>
      <c r="AI2048" s="1" t="s">
        <v>76</v>
      </c>
      <c r="AJ2048" s="1">
        <v>2017</v>
      </c>
      <c r="AK2048" s="1" t="s">
        <v>50</v>
      </c>
      <c r="AL2048" s="1">
        <v>248</v>
      </c>
    </row>
    <row r="2049" spans="1:38" x14ac:dyDescent="0.2">
      <c r="A2049" s="2" t="str">
        <f>HYPERLINK("https://www.compass.com/listing/301-west-53rd-street-unit-11h-manhattan-ny-10019/29388139868993649/","301 W 53rd St, Unit 11H")</f>
        <v>301 W 53rd St, Unit 11H</v>
      </c>
      <c r="B2049" s="2" t="str">
        <f t="shared" si="343"/>
        <v>Fifty Third and Eighth</v>
      </c>
      <c r="C2049" s="1" t="s">
        <v>57</v>
      </c>
      <c r="D2049" s="1" t="s">
        <v>41</v>
      </c>
      <c r="E2049" s="3">
        <v>990497</v>
      </c>
      <c r="F2049" s="1">
        <v>1485.00227886056</v>
      </c>
      <c r="H2049" s="1">
        <v>1</v>
      </c>
      <c r="J2049" s="1">
        <v>1</v>
      </c>
      <c r="K2049" s="1">
        <v>1</v>
      </c>
      <c r="M2049" s="1">
        <v>667</v>
      </c>
      <c r="N2049" s="1">
        <v>647.27</v>
      </c>
      <c r="O2049" s="1">
        <v>1713.27</v>
      </c>
      <c r="P2049" s="1">
        <v>1066</v>
      </c>
      <c r="Q2049" s="1" t="s">
        <v>42</v>
      </c>
      <c r="S2049" s="1" t="s">
        <v>42</v>
      </c>
      <c r="T2049" s="1" t="s">
        <v>203</v>
      </c>
      <c r="AA2049" s="1">
        <v>990496.52</v>
      </c>
      <c r="AB2049" s="1" t="s">
        <v>1576</v>
      </c>
      <c r="AC2049" s="5">
        <v>42276</v>
      </c>
      <c r="AF2049" s="1">
        <v>10019</v>
      </c>
      <c r="AI2049" s="1" t="s">
        <v>76</v>
      </c>
      <c r="AJ2049" s="1">
        <v>2017</v>
      </c>
      <c r="AK2049" s="1" t="s">
        <v>50</v>
      </c>
      <c r="AL2049" s="1">
        <v>248</v>
      </c>
    </row>
    <row r="2050" spans="1:38" x14ac:dyDescent="0.2">
      <c r="A2050" s="2" t="str">
        <f>HYPERLINK("https://www.compass.com/listing/301-west-53rd-street-unit-25h-manhattan-ny-10019/843950403529031873/","301 W 53rd St, Unit 25H")</f>
        <v>301 W 53rd St, Unit 25H</v>
      </c>
      <c r="B2050" s="2" t="str">
        <f t="shared" si="343"/>
        <v>Fifty Third and Eighth</v>
      </c>
      <c r="C2050" s="1" t="s">
        <v>57</v>
      </c>
      <c r="D2050" s="1" t="s">
        <v>41</v>
      </c>
      <c r="E2050" s="3">
        <v>939000</v>
      </c>
      <c r="F2050" s="1">
        <v>1407.7961019490201</v>
      </c>
      <c r="H2050" s="1">
        <v>1</v>
      </c>
      <c r="J2050" s="1">
        <v>1</v>
      </c>
      <c r="K2050" s="1">
        <v>1</v>
      </c>
      <c r="M2050" s="1">
        <v>667</v>
      </c>
      <c r="N2050" s="1">
        <v>678</v>
      </c>
      <c r="O2050" s="1">
        <v>1633</v>
      </c>
      <c r="P2050" s="1">
        <v>955</v>
      </c>
      <c r="Q2050" s="1" t="s">
        <v>42</v>
      </c>
      <c r="S2050" s="1" t="s">
        <v>42</v>
      </c>
      <c r="T2050" s="1" t="s">
        <v>203</v>
      </c>
      <c r="AA2050" s="1">
        <v>939000</v>
      </c>
      <c r="AB2050" s="1" t="s">
        <v>1577</v>
      </c>
      <c r="AC2050" s="5">
        <v>44221</v>
      </c>
      <c r="AF2050" s="1">
        <v>10019</v>
      </c>
      <c r="AI2050" s="1" t="s">
        <v>76</v>
      </c>
      <c r="AJ2050" s="1">
        <v>2017</v>
      </c>
      <c r="AK2050" s="1" t="s">
        <v>50</v>
      </c>
      <c r="AL2050" s="1">
        <v>248</v>
      </c>
    </row>
    <row r="2051" spans="1:38" x14ac:dyDescent="0.2">
      <c r="A2051" s="2" t="str">
        <f>HYPERLINK("https://www.compass.com/listing/301-west-53rd-street-unit-5b-manhattan-ny-10019/29388111741990513/","301 W 53rd St, Unit 5B")</f>
        <v>301 W 53rd St, Unit 5B</v>
      </c>
      <c r="B2051" s="2" t="str">
        <f t="shared" si="343"/>
        <v>Fifty Third and Eighth</v>
      </c>
      <c r="C2051" s="1" t="s">
        <v>57</v>
      </c>
      <c r="D2051" s="1" t="s">
        <v>41</v>
      </c>
      <c r="E2051" s="3">
        <v>1360257</v>
      </c>
      <c r="F2051" s="1">
        <v>1708.8655778894399</v>
      </c>
      <c r="G2051" s="1">
        <v>4</v>
      </c>
      <c r="H2051" s="1">
        <v>2</v>
      </c>
      <c r="I2051" s="1">
        <v>1</v>
      </c>
      <c r="J2051" s="1">
        <v>1</v>
      </c>
      <c r="M2051" s="1">
        <v>796</v>
      </c>
      <c r="N2051" s="1">
        <v>645</v>
      </c>
      <c r="O2051" s="1">
        <v>1812</v>
      </c>
      <c r="P2051" s="1">
        <v>1167</v>
      </c>
      <c r="Q2051" s="1" t="s">
        <v>42</v>
      </c>
      <c r="S2051" s="1" t="s">
        <v>42</v>
      </c>
      <c r="T2051" s="1" t="s">
        <v>203</v>
      </c>
      <c r="V2051" s="5">
        <v>43665</v>
      </c>
      <c r="W2051" s="5">
        <v>42636</v>
      </c>
      <c r="X2051" s="1">
        <v>1360000</v>
      </c>
      <c r="Y2051" s="1">
        <v>1360000</v>
      </c>
      <c r="Z2051" s="5">
        <v>42636</v>
      </c>
      <c r="AA2051" s="1">
        <v>1360257</v>
      </c>
      <c r="AB2051" s="1" t="s">
        <v>1578</v>
      </c>
      <c r="AC2051" s="5">
        <v>42672</v>
      </c>
      <c r="AF2051" s="1">
        <v>10019</v>
      </c>
      <c r="AI2051" s="1" t="s">
        <v>76</v>
      </c>
      <c r="AJ2051" s="1">
        <v>2017</v>
      </c>
      <c r="AK2051" s="1" t="s">
        <v>81</v>
      </c>
      <c r="AL2051" s="1">
        <v>248</v>
      </c>
    </row>
    <row r="2052" spans="1:38" x14ac:dyDescent="0.2">
      <c r="A2052" s="2" t="str">
        <f>HYPERLINK("https://www.compass.com/listing/301-west-53rd-street-unit-25h-manhattan-ny-10019/29388192314572049/","301 W 53rd St, Unit 25H")</f>
        <v>301 W 53rd St, Unit 25H</v>
      </c>
      <c r="B2052" s="2" t="str">
        <f t="shared" si="343"/>
        <v>Fifty Third and Eighth</v>
      </c>
      <c r="C2052" s="1" t="s">
        <v>57</v>
      </c>
      <c r="D2052" s="1" t="s">
        <v>41</v>
      </c>
      <c r="E2052" s="3">
        <v>1184839</v>
      </c>
      <c r="F2052" s="1">
        <v>1776.37031484257</v>
      </c>
      <c r="G2052" s="1">
        <v>3</v>
      </c>
      <c r="H2052" s="1">
        <v>1</v>
      </c>
      <c r="I2052" s="1">
        <v>1</v>
      </c>
      <c r="J2052" s="1">
        <v>1</v>
      </c>
      <c r="K2052" s="1">
        <v>1</v>
      </c>
      <c r="M2052" s="1">
        <v>667</v>
      </c>
      <c r="N2052" s="1">
        <v>594</v>
      </c>
      <c r="O2052" s="1">
        <v>1791</v>
      </c>
      <c r="P2052" s="1">
        <v>1197</v>
      </c>
      <c r="Q2052" s="1" t="s">
        <v>42</v>
      </c>
      <c r="S2052" s="1" t="s">
        <v>42</v>
      </c>
      <c r="T2052" s="1" t="s">
        <v>203</v>
      </c>
      <c r="V2052" s="5">
        <v>44225</v>
      </c>
      <c r="W2052" s="5">
        <v>43027</v>
      </c>
      <c r="X2052" s="1">
        <v>1250000</v>
      </c>
      <c r="Y2052" s="1">
        <v>1250000</v>
      </c>
      <c r="Z2052" s="5">
        <v>43027</v>
      </c>
      <c r="AA2052" s="1">
        <v>1184839</v>
      </c>
      <c r="AB2052" s="1" t="s">
        <v>1579</v>
      </c>
      <c r="AC2052" s="5">
        <v>43089</v>
      </c>
      <c r="AF2052" s="1">
        <v>10019</v>
      </c>
      <c r="AI2052" s="1" t="s">
        <v>154</v>
      </c>
      <c r="AJ2052" s="1">
        <v>2017</v>
      </c>
      <c r="AK2052" s="1" t="s">
        <v>50</v>
      </c>
      <c r="AL2052" s="1">
        <v>248</v>
      </c>
    </row>
    <row r="2053" spans="1:38" x14ac:dyDescent="0.2">
      <c r="A2053" s="2" t="str">
        <f>HYPERLINK("https://www.compass.com/listing/775-riverside-drive-unit-4b-manhattan-ny-10032/323162486030766097/","775 Riverside Dr, Unit 4B")</f>
        <v>775 Riverside Dr, Unit 4B</v>
      </c>
      <c r="B2053" s="2" t="str">
        <f>HYPERLINK("https://www.compass.com/building/775-riverside-dr-manhattan-ny-10032/294837409665591813/","775 Riverside Dr")</f>
        <v>775 Riverside Dr</v>
      </c>
      <c r="C2053" s="1" t="s">
        <v>164</v>
      </c>
      <c r="D2053" s="1" t="s">
        <v>41</v>
      </c>
      <c r="E2053" s="3">
        <v>625000</v>
      </c>
      <c r="F2053" s="1">
        <v>701.45903479236802</v>
      </c>
      <c r="G2053" s="1">
        <v>3</v>
      </c>
      <c r="H2053" s="1">
        <v>1</v>
      </c>
      <c r="I2053" s="1">
        <v>1</v>
      </c>
      <c r="J2053" s="1">
        <v>1</v>
      </c>
      <c r="K2053" s="1">
        <v>1</v>
      </c>
      <c r="M2053" s="1">
        <v>891</v>
      </c>
      <c r="N2053" s="1">
        <v>605</v>
      </c>
      <c r="O2053" s="1">
        <v>1033</v>
      </c>
      <c r="P2053" s="1">
        <v>428</v>
      </c>
      <c r="Q2053" s="1" t="s">
        <v>143</v>
      </c>
      <c r="S2053" s="1" t="s">
        <v>42</v>
      </c>
      <c r="T2053" s="1" t="s">
        <v>203</v>
      </c>
      <c r="U2053" s="1">
        <v>105</v>
      </c>
      <c r="V2053" s="5">
        <v>44345</v>
      </c>
      <c r="W2053" s="5">
        <v>43698</v>
      </c>
      <c r="X2053" s="1">
        <v>650000</v>
      </c>
      <c r="Y2053" s="1">
        <v>640000</v>
      </c>
      <c r="Z2053" s="5">
        <v>43804</v>
      </c>
      <c r="AA2053" s="1">
        <v>625000</v>
      </c>
      <c r="AB2053" s="1" t="s">
        <v>1580</v>
      </c>
      <c r="AC2053" s="5">
        <v>43861</v>
      </c>
      <c r="AF2053" s="1">
        <v>10032</v>
      </c>
      <c r="AJ2053" s="1">
        <v>1931</v>
      </c>
    </row>
    <row r="2054" spans="1:38" x14ac:dyDescent="0.2">
      <c r="A2054" s="2" t="str">
        <f>HYPERLINK("https://www.compass.com/listing/301-west-53rd-street-unit-19h-manhattan-ny-10019/29388172198745521/","301 W 53rd St, Unit 19H")</f>
        <v>301 W 53rd St, Unit 19H</v>
      </c>
      <c r="B2054" s="2" t="str">
        <f t="shared" ref="B2054:B2059" si="344">HYPERLINK("https://www.compass.com/building/fifty-third-and-eighth-manhattan-ny/281944545158031557/","Fifty Third and Eighth")</f>
        <v>Fifty Third and Eighth</v>
      </c>
      <c r="C2054" s="1" t="s">
        <v>57</v>
      </c>
      <c r="D2054" s="1" t="s">
        <v>41</v>
      </c>
      <c r="E2054" s="3">
        <v>1175697</v>
      </c>
      <c r="F2054" s="1">
        <v>1762.6640029985001</v>
      </c>
      <c r="G2054" s="1">
        <v>3</v>
      </c>
      <c r="H2054" s="1">
        <v>1</v>
      </c>
      <c r="I2054" s="1">
        <v>1</v>
      </c>
      <c r="J2054" s="1">
        <v>1</v>
      </c>
      <c r="M2054" s="1">
        <v>667</v>
      </c>
      <c r="N2054" s="1">
        <v>578</v>
      </c>
      <c r="O2054" s="1">
        <v>1623</v>
      </c>
      <c r="P2054" s="1">
        <v>1045</v>
      </c>
      <c r="Q2054" s="1" t="s">
        <v>42</v>
      </c>
      <c r="S2054" s="1" t="s">
        <v>42</v>
      </c>
      <c r="T2054" s="1" t="s">
        <v>203</v>
      </c>
      <c r="U2054" s="1">
        <v>866</v>
      </c>
      <c r="V2054" s="5">
        <v>42880</v>
      </c>
      <c r="W2054" s="5">
        <v>42013</v>
      </c>
      <c r="X2054" s="1">
        <v>1205000</v>
      </c>
      <c r="Y2054" s="1">
        <v>1205000</v>
      </c>
      <c r="AA2054" s="1">
        <v>1175696.8899999999</v>
      </c>
      <c r="AB2054" s="1" t="s">
        <v>1561</v>
      </c>
      <c r="AC2054" s="5">
        <v>42941</v>
      </c>
      <c r="AF2054" s="1">
        <v>10019</v>
      </c>
      <c r="AI2054" s="1" t="s">
        <v>76</v>
      </c>
      <c r="AJ2054" s="1">
        <v>2017</v>
      </c>
      <c r="AK2054" s="1" t="s">
        <v>50</v>
      </c>
      <c r="AL2054" s="1">
        <v>248</v>
      </c>
    </row>
    <row r="2055" spans="1:38" x14ac:dyDescent="0.2">
      <c r="A2055" s="2" t="str">
        <f>HYPERLINK("https://www.compass.com/listing/301-west-53rd-street-unit-24g-manhattan-ny-10019/29388188111943313/","301 W 53rd St, Unit 24G")</f>
        <v>301 W 53rd St, Unit 24G</v>
      </c>
      <c r="B2055" s="2" t="str">
        <f t="shared" si="344"/>
        <v>Fifty Third and Eighth</v>
      </c>
      <c r="C2055" s="1" t="s">
        <v>57</v>
      </c>
      <c r="D2055" s="1" t="s">
        <v>41</v>
      </c>
      <c r="E2055" s="3">
        <v>1189897</v>
      </c>
      <c r="F2055" s="1">
        <v>1755.0103244837701</v>
      </c>
      <c r="G2055" s="1">
        <v>3</v>
      </c>
      <c r="H2055" s="1">
        <v>1</v>
      </c>
      <c r="I2055" s="1">
        <v>1</v>
      </c>
      <c r="J2055" s="1">
        <v>1</v>
      </c>
      <c r="M2055" s="1">
        <v>678</v>
      </c>
      <c r="N2055" s="1">
        <v>601</v>
      </c>
      <c r="O2055" s="1">
        <v>1812</v>
      </c>
      <c r="P2055" s="1">
        <v>1211</v>
      </c>
      <c r="Q2055" s="1" t="s">
        <v>42</v>
      </c>
      <c r="S2055" s="1" t="s">
        <v>42</v>
      </c>
      <c r="T2055" s="1" t="s">
        <v>203</v>
      </c>
      <c r="U2055" s="1">
        <v>96</v>
      </c>
      <c r="V2055" s="5">
        <v>43649</v>
      </c>
      <c r="W2055" s="5">
        <v>43036</v>
      </c>
      <c r="X2055" s="1">
        <v>1245000</v>
      </c>
      <c r="Y2055" s="1">
        <v>1245000</v>
      </c>
      <c r="Z2055" s="5">
        <v>43132</v>
      </c>
      <c r="AA2055" s="1">
        <v>1189897</v>
      </c>
      <c r="AB2055" s="1" t="s">
        <v>1581</v>
      </c>
      <c r="AC2055" s="5">
        <v>43166</v>
      </c>
      <c r="AF2055" s="1">
        <v>10019</v>
      </c>
      <c r="AI2055" s="1" t="s">
        <v>76</v>
      </c>
      <c r="AJ2055" s="1">
        <v>2017</v>
      </c>
      <c r="AK2055" s="1" t="s">
        <v>50</v>
      </c>
      <c r="AL2055" s="1">
        <v>248</v>
      </c>
    </row>
    <row r="2056" spans="1:38" x14ac:dyDescent="0.2">
      <c r="A2056" s="2" t="str">
        <f>HYPERLINK("https://www.compass.com/listing/301-west-53rd-street-unit-24j-manhattan-ny-10019/29388188573252817/","301 W 53rd St, Unit 24J")</f>
        <v>301 W 53rd St, Unit 24J</v>
      </c>
      <c r="B2056" s="2" t="str">
        <f t="shared" si="344"/>
        <v>Fifty Third and Eighth</v>
      </c>
      <c r="C2056" s="1" t="s">
        <v>57</v>
      </c>
      <c r="D2056" s="1" t="s">
        <v>41</v>
      </c>
      <c r="E2056" s="3">
        <v>1189897</v>
      </c>
      <c r="F2056" s="1">
        <v>1755.0103244837701</v>
      </c>
      <c r="G2056" s="1">
        <v>3</v>
      </c>
      <c r="H2056" s="1">
        <v>1</v>
      </c>
      <c r="I2056" s="1">
        <v>1</v>
      </c>
      <c r="J2056" s="1">
        <v>1</v>
      </c>
      <c r="M2056" s="1">
        <v>678</v>
      </c>
      <c r="N2056" s="1">
        <v>601</v>
      </c>
      <c r="O2056" s="1">
        <v>1812</v>
      </c>
      <c r="P2056" s="1">
        <v>1211</v>
      </c>
      <c r="Q2056" s="1" t="s">
        <v>42</v>
      </c>
      <c r="S2056" s="1" t="s">
        <v>42</v>
      </c>
      <c r="T2056" s="1" t="s">
        <v>203</v>
      </c>
      <c r="U2056" s="1">
        <v>55</v>
      </c>
      <c r="V2056" s="5">
        <v>43677</v>
      </c>
      <c r="W2056" s="5">
        <v>43036</v>
      </c>
      <c r="X2056" s="1">
        <v>1245000</v>
      </c>
      <c r="Y2056" s="1">
        <v>1245000</v>
      </c>
      <c r="Z2056" s="5">
        <v>43091</v>
      </c>
      <c r="AA2056" s="1">
        <v>1189897</v>
      </c>
      <c r="AB2056" s="1" t="s">
        <v>1582</v>
      </c>
      <c r="AC2056" s="5">
        <v>43153</v>
      </c>
      <c r="AF2056" s="1">
        <v>10019</v>
      </c>
      <c r="AI2056" s="1" t="s">
        <v>76</v>
      </c>
      <c r="AJ2056" s="1">
        <v>2017</v>
      </c>
      <c r="AK2056" s="1" t="s">
        <v>50</v>
      </c>
      <c r="AL2056" s="1">
        <v>248</v>
      </c>
    </row>
    <row r="2057" spans="1:38" x14ac:dyDescent="0.2">
      <c r="A2057" s="2" t="str">
        <f>HYPERLINK("https://www.compass.com/listing/301-west-53rd-street-unit-6d-manhattan-ny-10019/29388117228140241/","301 W 53rd St, Unit 6D")</f>
        <v>301 W 53rd St, Unit 6D</v>
      </c>
      <c r="B2057" s="2" t="str">
        <f t="shared" si="344"/>
        <v>Fifty Third and Eighth</v>
      </c>
      <c r="C2057" s="1" t="s">
        <v>57</v>
      </c>
      <c r="D2057" s="1" t="s">
        <v>41</v>
      </c>
      <c r="E2057" s="3">
        <v>1365237</v>
      </c>
      <c r="F2057" s="1">
        <v>1730.3384030418199</v>
      </c>
      <c r="G2057" s="1">
        <v>3</v>
      </c>
      <c r="H2057" s="1">
        <v>2</v>
      </c>
      <c r="I2057" s="1">
        <v>1</v>
      </c>
      <c r="J2057" s="1">
        <v>1</v>
      </c>
      <c r="K2057" s="1">
        <v>1</v>
      </c>
      <c r="M2057" s="1">
        <v>789</v>
      </c>
      <c r="N2057" s="1">
        <v>642</v>
      </c>
      <c r="O2057" s="1">
        <v>1805</v>
      </c>
      <c r="P2057" s="1">
        <v>1163</v>
      </c>
      <c r="Q2057" s="1" t="s">
        <v>42</v>
      </c>
      <c r="S2057" s="1" t="s">
        <v>42</v>
      </c>
      <c r="T2057" s="1" t="s">
        <v>203</v>
      </c>
      <c r="U2057" s="1">
        <v>155</v>
      </c>
      <c r="V2057" s="5">
        <v>44344</v>
      </c>
      <c r="W2057" s="5">
        <v>42626</v>
      </c>
      <c r="X2057" s="1">
        <v>1360000</v>
      </c>
      <c r="Y2057" s="1">
        <v>1360000</v>
      </c>
      <c r="Z2057" s="5">
        <v>42781</v>
      </c>
      <c r="AA2057" s="1">
        <v>1365237</v>
      </c>
      <c r="AB2057" s="1" t="s">
        <v>1583</v>
      </c>
      <c r="AC2057" s="5">
        <v>42788</v>
      </c>
      <c r="AF2057" s="1">
        <v>10019</v>
      </c>
      <c r="AI2057" s="1" t="s">
        <v>76</v>
      </c>
      <c r="AJ2057" s="1">
        <v>2017</v>
      </c>
      <c r="AK2057" s="1" t="s">
        <v>81</v>
      </c>
      <c r="AL2057" s="1">
        <v>248</v>
      </c>
    </row>
    <row r="2058" spans="1:38" x14ac:dyDescent="0.2">
      <c r="A2058" s="2" t="str">
        <f>HYPERLINK("https://www.compass.com/listing/301-west-53rd-street-unit-3d-manhattan-ny-10019/29388105366704273/","301 W 53rd St, Unit 3D")</f>
        <v>301 W 53rd St, Unit 3D</v>
      </c>
      <c r="B2058" s="2" t="str">
        <f t="shared" si="344"/>
        <v>Fifty Third and Eighth</v>
      </c>
      <c r="C2058" s="1" t="s">
        <v>57</v>
      </c>
      <c r="D2058" s="1" t="s">
        <v>41</v>
      </c>
      <c r="E2058" s="3">
        <v>1335160</v>
      </c>
      <c r="F2058" s="1">
        <v>1692.2179974651399</v>
      </c>
      <c r="G2058" s="1">
        <v>3</v>
      </c>
      <c r="H2058" s="1">
        <v>1</v>
      </c>
      <c r="I2058" s="1">
        <v>1</v>
      </c>
      <c r="J2058" s="1">
        <v>1</v>
      </c>
      <c r="M2058" s="1">
        <v>789</v>
      </c>
      <c r="N2058" s="1">
        <v>648</v>
      </c>
      <c r="O2058" s="1">
        <v>1488</v>
      </c>
      <c r="P2058" s="1">
        <v>840</v>
      </c>
      <c r="Q2058" s="1" t="s">
        <v>42</v>
      </c>
      <c r="S2058" s="1" t="s">
        <v>42</v>
      </c>
      <c r="T2058" s="1" t="s">
        <v>203</v>
      </c>
      <c r="V2058" s="5">
        <v>43677</v>
      </c>
      <c r="W2058" s="5">
        <v>42508</v>
      </c>
      <c r="X2058" s="1">
        <v>1330000</v>
      </c>
      <c r="Y2058" s="1">
        <v>1330000</v>
      </c>
      <c r="Z2058" s="5">
        <v>42508</v>
      </c>
      <c r="AA2058" s="1">
        <v>1335160</v>
      </c>
      <c r="AB2058" s="1" t="s">
        <v>1584</v>
      </c>
      <c r="AC2058" s="5">
        <v>42543</v>
      </c>
      <c r="AF2058" s="1">
        <v>10019</v>
      </c>
      <c r="AI2058" s="1" t="s">
        <v>76</v>
      </c>
      <c r="AJ2058" s="1">
        <v>2017</v>
      </c>
      <c r="AK2058" s="1" t="s">
        <v>50</v>
      </c>
      <c r="AL2058" s="1">
        <v>248</v>
      </c>
    </row>
    <row r="2059" spans="1:38" x14ac:dyDescent="0.2">
      <c r="A2059" s="2" t="str">
        <f>HYPERLINK("https://www.compass.com/listing/301-west-53rd-street-unit-4b-manhattan-ny-10019/29388107816177857/","301 W 53rd St, Unit 4B")</f>
        <v>301 W 53rd St, Unit 4B</v>
      </c>
      <c r="B2059" s="2" t="str">
        <f t="shared" si="344"/>
        <v>Fifty Third and Eighth</v>
      </c>
      <c r="C2059" s="1" t="s">
        <v>57</v>
      </c>
      <c r="D2059" s="1" t="s">
        <v>41</v>
      </c>
      <c r="E2059" s="3">
        <v>1365231</v>
      </c>
      <c r="F2059" s="1">
        <v>1606.15411764705</v>
      </c>
      <c r="G2059" s="1">
        <v>4</v>
      </c>
      <c r="H2059" s="1">
        <v>2</v>
      </c>
      <c r="I2059" s="1">
        <v>1</v>
      </c>
      <c r="J2059" s="1">
        <v>1</v>
      </c>
      <c r="M2059" s="1">
        <v>850</v>
      </c>
      <c r="N2059" s="1">
        <v>642</v>
      </c>
      <c r="O2059" s="1">
        <v>1803</v>
      </c>
      <c r="P2059" s="1">
        <v>1161</v>
      </c>
      <c r="Q2059" s="1" t="s">
        <v>42</v>
      </c>
      <c r="S2059" s="1" t="s">
        <v>42</v>
      </c>
      <c r="T2059" s="1" t="s">
        <v>203</v>
      </c>
      <c r="V2059" s="5">
        <v>43664</v>
      </c>
      <c r="W2059" s="5">
        <v>42761</v>
      </c>
      <c r="X2059" s="1">
        <v>1360000</v>
      </c>
      <c r="Y2059" s="1">
        <v>1360000</v>
      </c>
      <c r="Z2059" s="5">
        <v>42761</v>
      </c>
      <c r="AA2059" s="1">
        <v>1365231</v>
      </c>
      <c r="AB2059" s="1" t="s">
        <v>1585</v>
      </c>
      <c r="AC2059" s="5">
        <v>42803</v>
      </c>
      <c r="AF2059" s="1">
        <v>10019</v>
      </c>
      <c r="AI2059" s="1" t="s">
        <v>76</v>
      </c>
      <c r="AJ2059" s="1">
        <v>2017</v>
      </c>
      <c r="AK2059" s="1" t="s">
        <v>81</v>
      </c>
      <c r="AL2059" s="1">
        <v>248</v>
      </c>
    </row>
    <row r="2060" spans="1:38" x14ac:dyDescent="0.2">
      <c r="A2060" s="2" t="str">
        <f>HYPERLINK("https://www.compass.com/listing/40-pinehurst-avenue-unit-5c-manhattan-ny-10033/430650668219472281/","40 Pinehurst Ave, Unit 5C")</f>
        <v>40 Pinehurst Ave, Unit 5C</v>
      </c>
      <c r="B2060" s="2" t="str">
        <f>HYPERLINK("https://www.compass.com/building/the-ammann-manhattan-ny/282011498950165109/","The Ammann")</f>
        <v>The Ammann</v>
      </c>
      <c r="C2060" s="1" t="s">
        <v>1586</v>
      </c>
      <c r="D2060" s="1" t="s">
        <v>41</v>
      </c>
      <c r="E2060" s="3">
        <v>688000</v>
      </c>
      <c r="H2060" s="1">
        <v>1</v>
      </c>
      <c r="J2060" s="1">
        <v>1</v>
      </c>
      <c r="S2060" s="1" t="s">
        <v>42</v>
      </c>
      <c r="T2060" s="1" t="s">
        <v>203</v>
      </c>
      <c r="U2060" s="1">
        <v>2</v>
      </c>
      <c r="V2060" s="5">
        <v>44248</v>
      </c>
      <c r="W2060" s="5">
        <v>43830</v>
      </c>
      <c r="X2060" s="1">
        <v>688000</v>
      </c>
      <c r="Y2060" s="1">
        <v>688000</v>
      </c>
      <c r="AA2060" s="1">
        <v>688000</v>
      </c>
      <c r="AB2060" s="1" t="s">
        <v>204</v>
      </c>
      <c r="AC2060" s="5">
        <v>43833</v>
      </c>
      <c r="AF2060" s="1">
        <v>10033</v>
      </c>
      <c r="AI2060" s="1" t="s">
        <v>52</v>
      </c>
      <c r="AJ2060" s="1">
        <v>2018</v>
      </c>
      <c r="AK2060" s="1" t="s">
        <v>91</v>
      </c>
      <c r="AL2060" s="1">
        <v>24</v>
      </c>
    </row>
    <row r="2061" spans="1:38" x14ac:dyDescent="0.2">
      <c r="A2061" s="2" t="str">
        <f>HYPERLINK("https://www.compass.com/listing/301-west-53rd-street-unit-25b-manhattan-ny-10019/441165027366877809/","301 W 53rd St, Unit 25B")</f>
        <v>301 W 53rd St, Unit 25B</v>
      </c>
      <c r="B2061" s="2" t="str">
        <f>HYPERLINK("https://www.compass.com/building/fifty-third-and-eighth-manhattan-ny/281944545158031557/","Fifty Third and Eighth")</f>
        <v>Fifty Third and Eighth</v>
      </c>
      <c r="C2061" s="1" t="s">
        <v>57</v>
      </c>
      <c r="D2061" s="1" t="s">
        <v>41</v>
      </c>
      <c r="E2061" s="3">
        <v>1421000</v>
      </c>
      <c r="G2061" s="1">
        <v>4.5</v>
      </c>
      <c r="H2061" s="1">
        <v>2</v>
      </c>
      <c r="I2061" s="1">
        <v>1</v>
      </c>
      <c r="J2061" s="1">
        <v>1</v>
      </c>
      <c r="K2061" s="1">
        <v>1</v>
      </c>
      <c r="N2061" s="1">
        <v>779.24</v>
      </c>
      <c r="O2061" s="1">
        <v>2168.2399999999998</v>
      </c>
      <c r="P2061" s="1">
        <v>1389</v>
      </c>
      <c r="Q2061" s="1" t="s">
        <v>42</v>
      </c>
      <c r="S2061" s="1" t="s">
        <v>42</v>
      </c>
      <c r="T2061" s="1" t="s">
        <v>203</v>
      </c>
      <c r="U2061" s="1">
        <v>35</v>
      </c>
      <c r="V2061" s="5">
        <v>44048</v>
      </c>
      <c r="W2061" s="5">
        <v>43860</v>
      </c>
      <c r="X2061" s="1">
        <v>1500000</v>
      </c>
      <c r="Y2061" s="1">
        <v>1500000</v>
      </c>
      <c r="Z2061" s="5">
        <v>43896</v>
      </c>
      <c r="AA2061" s="1">
        <v>1421000</v>
      </c>
      <c r="AB2061" s="1" t="s">
        <v>1587</v>
      </c>
      <c r="AC2061" s="5">
        <v>44046</v>
      </c>
      <c r="AF2061" s="1">
        <v>10019</v>
      </c>
      <c r="AI2061" s="1" t="s">
        <v>76</v>
      </c>
      <c r="AJ2061" s="1">
        <v>2017</v>
      </c>
      <c r="AK2061" s="1" t="s">
        <v>81</v>
      </c>
      <c r="AL2061" s="1">
        <v>248</v>
      </c>
    </row>
    <row r="2062" spans="1:38" x14ac:dyDescent="0.2">
      <c r="A2062" s="2" t="str">
        <f>HYPERLINK("https://www.compass.com/listing/264-water-street-unit-3d-brooklyn-ny-11201/424811743573323841/","264 Water St, Unit 3D")</f>
        <v>264 Water St, Unit 3D</v>
      </c>
      <c r="B2062" s="2" t="str">
        <f>HYPERLINK("https://www.compass.com/building/264-water-st-brooklyn-ny-11201/820452910768211061/","264 Water St")</f>
        <v>264 Water St</v>
      </c>
      <c r="C2062" s="1" t="s">
        <v>155</v>
      </c>
      <c r="D2062" s="1" t="s">
        <v>1588</v>
      </c>
      <c r="E2062" s="3">
        <v>1060000</v>
      </c>
      <c r="F2062" s="1">
        <v>951.526032315978</v>
      </c>
      <c r="G2062" s="1">
        <v>3.5</v>
      </c>
      <c r="H2062" s="1">
        <v>2</v>
      </c>
      <c r="I2062" s="1">
        <v>2</v>
      </c>
      <c r="J2062" s="1">
        <v>1.5</v>
      </c>
      <c r="K2062" s="1">
        <v>1</v>
      </c>
      <c r="L2062" s="1">
        <v>1</v>
      </c>
      <c r="M2062" s="4">
        <v>1114</v>
      </c>
      <c r="N2062" s="1">
        <v>733</v>
      </c>
      <c r="O2062" s="1">
        <v>1661</v>
      </c>
      <c r="P2062" s="1">
        <v>928</v>
      </c>
      <c r="Q2062" s="1" t="s">
        <v>42</v>
      </c>
      <c r="S2062" s="1" t="s">
        <v>42</v>
      </c>
      <c r="T2062" s="1" t="s">
        <v>203</v>
      </c>
      <c r="U2062" s="1">
        <v>76</v>
      </c>
      <c r="V2062" s="5">
        <v>44111</v>
      </c>
      <c r="W2062" s="5">
        <v>43832</v>
      </c>
      <c r="X2062" s="1">
        <v>1100000</v>
      </c>
      <c r="Y2062" s="1">
        <v>1100000</v>
      </c>
      <c r="Z2062" s="5">
        <v>44092</v>
      </c>
      <c r="AA2062" s="1">
        <v>1060000</v>
      </c>
      <c r="AB2062" s="1" t="s">
        <v>1589</v>
      </c>
      <c r="AC2062" s="5">
        <v>44110</v>
      </c>
      <c r="AF2062" s="1">
        <v>11201</v>
      </c>
      <c r="AJ2062" s="1">
        <v>1900</v>
      </c>
      <c r="AL2062" s="1">
        <v>27</v>
      </c>
    </row>
    <row r="2063" spans="1:38" x14ac:dyDescent="0.2">
      <c r="A2063" s="2" t="str">
        <f>HYPERLINK("https://www.compass.com/listing/301-west-53rd-street-unit-3b-manhattan-ny-10019/181063639715865569/","301 W 53rd St, Unit 3B")</f>
        <v>301 W 53rd St, Unit 3B</v>
      </c>
      <c r="B2063" s="2" t="str">
        <f t="shared" ref="B2063:B2066" si="345">HYPERLINK("https://www.compass.com/building/fifty-third-and-eighth-manhattan-ny/281944545158031557/","Fifty Third and Eighth")</f>
        <v>Fifty Third and Eighth</v>
      </c>
      <c r="C2063" s="1" t="s">
        <v>57</v>
      </c>
      <c r="D2063" s="1" t="s">
        <v>41</v>
      </c>
      <c r="E2063" s="3">
        <v>1355206</v>
      </c>
      <c r="F2063" s="1">
        <v>1594.36</v>
      </c>
      <c r="G2063" s="1">
        <v>4</v>
      </c>
      <c r="H2063" s="1">
        <v>2</v>
      </c>
      <c r="I2063" s="1">
        <v>1</v>
      </c>
      <c r="J2063" s="1">
        <v>1</v>
      </c>
      <c r="M2063" s="1">
        <v>850</v>
      </c>
      <c r="N2063" s="1">
        <v>639</v>
      </c>
      <c r="O2063" s="1">
        <v>1795</v>
      </c>
      <c r="P2063" s="1">
        <v>1156</v>
      </c>
      <c r="Q2063" s="1" t="s">
        <v>42</v>
      </c>
      <c r="S2063" s="1" t="s">
        <v>42</v>
      </c>
      <c r="T2063" s="1" t="s">
        <v>203</v>
      </c>
      <c r="U2063" s="1">
        <v>83</v>
      </c>
      <c r="V2063" s="5">
        <v>43664</v>
      </c>
      <c r="W2063" s="5">
        <v>42672</v>
      </c>
      <c r="X2063" s="1">
        <v>1350000</v>
      </c>
      <c r="Y2063" s="1">
        <v>1350000</v>
      </c>
      <c r="Z2063" s="5">
        <v>42755</v>
      </c>
      <c r="AA2063" s="1">
        <v>1355206</v>
      </c>
      <c r="AB2063" s="1" t="s">
        <v>1590</v>
      </c>
      <c r="AC2063" s="5">
        <v>42803</v>
      </c>
      <c r="AF2063" s="1">
        <v>10019</v>
      </c>
      <c r="AI2063" s="1" t="s">
        <v>76</v>
      </c>
      <c r="AJ2063" s="1">
        <v>2017</v>
      </c>
      <c r="AK2063" s="1" t="s">
        <v>81</v>
      </c>
      <c r="AL2063" s="1">
        <v>248</v>
      </c>
    </row>
    <row r="2064" spans="1:38" x14ac:dyDescent="0.2">
      <c r="A2064" s="2" t="str">
        <f>HYPERLINK("https://www.compass.com/listing/301-west-53rd-street-unit-4d-manhattan-ny-10019/288474225394709329/","301 W 53rd St, Unit 4D")</f>
        <v>301 W 53rd St, Unit 4D</v>
      </c>
      <c r="B2064" s="2" t="str">
        <f t="shared" si="345"/>
        <v>Fifty Third and Eighth</v>
      </c>
      <c r="C2064" s="1" t="s">
        <v>57</v>
      </c>
      <c r="D2064" s="1" t="s">
        <v>41</v>
      </c>
      <c r="E2064" s="3">
        <v>1255186</v>
      </c>
      <c r="F2064" s="1">
        <v>1590.85637515842</v>
      </c>
      <c r="G2064" s="1">
        <v>3</v>
      </c>
      <c r="H2064" s="1">
        <v>1</v>
      </c>
      <c r="I2064" s="1">
        <v>1</v>
      </c>
      <c r="J2064" s="1">
        <v>1</v>
      </c>
      <c r="K2064" s="1">
        <v>1</v>
      </c>
      <c r="M2064" s="1">
        <v>789</v>
      </c>
      <c r="N2064" s="1">
        <v>700</v>
      </c>
      <c r="O2064" s="1">
        <v>1947</v>
      </c>
      <c r="P2064" s="1">
        <v>1247</v>
      </c>
      <c r="Q2064" s="1" t="s">
        <v>42</v>
      </c>
      <c r="S2064" s="1" t="s">
        <v>42</v>
      </c>
      <c r="T2064" s="1" t="s">
        <v>203</v>
      </c>
      <c r="U2064" s="1">
        <v>188</v>
      </c>
      <c r="V2064" s="5">
        <v>44288</v>
      </c>
      <c r="W2064" s="5">
        <v>43627</v>
      </c>
      <c r="X2064" s="1">
        <v>1550000</v>
      </c>
      <c r="Y2064" s="1">
        <v>1450000</v>
      </c>
      <c r="Z2064" s="5">
        <v>43816</v>
      </c>
      <c r="AA2064" s="1">
        <v>1255185.68</v>
      </c>
      <c r="AB2064" s="1" t="s">
        <v>1591</v>
      </c>
      <c r="AC2064" s="5">
        <v>43909</v>
      </c>
      <c r="AF2064" s="1">
        <v>10019</v>
      </c>
      <c r="AI2064" s="1" t="s">
        <v>154</v>
      </c>
      <c r="AJ2064" s="1">
        <v>2017</v>
      </c>
      <c r="AK2064" s="1" t="s">
        <v>81</v>
      </c>
      <c r="AL2064" s="1">
        <v>248</v>
      </c>
    </row>
    <row r="2065" spans="1:38" x14ac:dyDescent="0.2">
      <c r="A2065" s="2" t="str">
        <f>HYPERLINK("https://www.compass.com/listing/301-west-53rd-street-unit-23l-manhattan-ny-10019/422014900892828577/","301 W 53rd St, Unit 23L")</f>
        <v>301 W 53rd St, Unit 23L</v>
      </c>
      <c r="B2065" s="2" t="str">
        <f t="shared" si="345"/>
        <v>Fifty Third and Eighth</v>
      </c>
      <c r="C2065" s="1" t="s">
        <v>57</v>
      </c>
      <c r="D2065" s="1" t="s">
        <v>41</v>
      </c>
      <c r="E2065" s="3">
        <v>1175000</v>
      </c>
      <c r="F2065" s="1">
        <v>1761.6191904047901</v>
      </c>
      <c r="G2065" s="1">
        <v>3</v>
      </c>
      <c r="H2065" s="1">
        <v>1</v>
      </c>
      <c r="J2065" s="1">
        <v>1</v>
      </c>
      <c r="M2065" s="1">
        <v>667</v>
      </c>
      <c r="N2065" s="1">
        <v>650</v>
      </c>
      <c r="O2065" s="1">
        <v>1809</v>
      </c>
      <c r="P2065" s="1">
        <v>1159</v>
      </c>
      <c r="S2065" s="1" t="s">
        <v>42</v>
      </c>
      <c r="T2065" s="1" t="s">
        <v>203</v>
      </c>
      <c r="V2065" s="5">
        <v>44248</v>
      </c>
      <c r="W2065" s="5">
        <v>43834</v>
      </c>
      <c r="X2065" s="1">
        <v>1175000</v>
      </c>
      <c r="Y2065" s="1">
        <v>1175000</v>
      </c>
      <c r="Z2065" s="5">
        <v>43834</v>
      </c>
      <c r="AA2065" s="1">
        <v>1175000</v>
      </c>
      <c r="AB2065" s="1" t="s">
        <v>204</v>
      </c>
      <c r="AC2065" s="5">
        <v>43873</v>
      </c>
      <c r="AF2065" s="1">
        <v>10019</v>
      </c>
      <c r="AI2065" s="1" t="s">
        <v>154</v>
      </c>
      <c r="AJ2065" s="1">
        <v>2017</v>
      </c>
      <c r="AK2065" s="1" t="s">
        <v>81</v>
      </c>
      <c r="AL2065" s="1">
        <v>248</v>
      </c>
    </row>
    <row r="2066" spans="1:38" x14ac:dyDescent="0.2">
      <c r="A2066" s="2" t="str">
        <f>HYPERLINK("https://www.compass.com/listing/301-west-53rd-street-unit-12b-manhattan-ny-10019/29388141630665585/","301 W 53rd St, Unit 12B")</f>
        <v>301 W 53rd St, Unit 12B</v>
      </c>
      <c r="B2066" s="2" t="str">
        <f t="shared" si="345"/>
        <v>Fifty Third and Eighth</v>
      </c>
      <c r="C2066" s="1" t="s">
        <v>57</v>
      </c>
      <c r="D2066" s="1" t="s">
        <v>41</v>
      </c>
      <c r="E2066" s="3">
        <v>1370438</v>
      </c>
      <c r="F2066" s="1">
        <v>1721.6557788944699</v>
      </c>
      <c r="G2066" s="1">
        <v>4</v>
      </c>
      <c r="H2066" s="1">
        <v>2</v>
      </c>
      <c r="I2066" s="1">
        <v>1</v>
      </c>
      <c r="J2066" s="1">
        <v>1</v>
      </c>
      <c r="M2066" s="1">
        <v>796</v>
      </c>
      <c r="N2066" s="1">
        <v>683</v>
      </c>
      <c r="O2066" s="1">
        <v>1569</v>
      </c>
      <c r="P2066" s="1">
        <v>886</v>
      </c>
      <c r="Q2066" s="1" t="s">
        <v>42</v>
      </c>
      <c r="S2066" s="1" t="s">
        <v>42</v>
      </c>
      <c r="T2066" s="1" t="s">
        <v>203</v>
      </c>
      <c r="V2066" s="5">
        <v>43651</v>
      </c>
      <c r="W2066" s="5">
        <v>42252</v>
      </c>
      <c r="X2066" s="1">
        <v>1365000</v>
      </c>
      <c r="Y2066" s="1">
        <v>1365000</v>
      </c>
      <c r="Z2066" s="5">
        <v>42252</v>
      </c>
      <c r="AA2066" s="1">
        <v>1370438</v>
      </c>
      <c r="AB2066" s="1" t="s">
        <v>1592</v>
      </c>
      <c r="AC2066" s="5">
        <v>42272</v>
      </c>
      <c r="AF2066" s="1">
        <v>10019</v>
      </c>
      <c r="AI2066" s="1" t="s">
        <v>76</v>
      </c>
      <c r="AJ2066" s="1">
        <v>2017</v>
      </c>
      <c r="AK2066" s="1" t="s">
        <v>50</v>
      </c>
      <c r="AL2066" s="1">
        <v>248</v>
      </c>
    </row>
    <row r="2067" spans="1:38" x14ac:dyDescent="0.2">
      <c r="A2067" s="2" t="str">
        <f>HYPERLINK("https://www.compass.com/listing/375-west-123rd-street-unit-8c-manhattan-ny-10027/652883062753986681/","375 W 123rd St, Unit 8C")</f>
        <v>375 W 123rd St, Unit 8C</v>
      </c>
      <c r="B2067" s="2" t="str">
        <f>HYPERLINK("https://www.compass.com/building/99-morningside-manhattan-ny/281983676789660549/","99 Morningside")</f>
        <v>99 Morningside</v>
      </c>
      <c r="C2067" s="1" t="s">
        <v>131</v>
      </c>
      <c r="D2067" s="1" t="s">
        <v>41</v>
      </c>
      <c r="E2067" s="3">
        <v>715000</v>
      </c>
      <c r="F2067" s="1">
        <v>1283.66247755834</v>
      </c>
      <c r="G2067" s="1">
        <v>3</v>
      </c>
      <c r="H2067" s="1">
        <v>1</v>
      </c>
      <c r="I2067" s="1">
        <v>1</v>
      </c>
      <c r="J2067" s="1">
        <v>1</v>
      </c>
      <c r="K2067" s="1">
        <v>1</v>
      </c>
      <c r="M2067" s="1">
        <v>557</v>
      </c>
      <c r="N2067" s="1">
        <v>511</v>
      </c>
      <c r="O2067" s="1">
        <v>555</v>
      </c>
      <c r="P2067" s="1">
        <v>44</v>
      </c>
      <c r="Q2067" s="1" t="s">
        <v>42</v>
      </c>
      <c r="S2067" s="1" t="s">
        <v>42</v>
      </c>
      <c r="T2067" s="1" t="s">
        <v>203</v>
      </c>
      <c r="V2067" s="5">
        <v>44371</v>
      </c>
      <c r="W2067" s="5">
        <v>44152</v>
      </c>
      <c r="X2067" s="1">
        <v>780000</v>
      </c>
      <c r="Y2067" s="1">
        <v>734000</v>
      </c>
      <c r="Z2067" s="5">
        <v>44281</v>
      </c>
      <c r="AA2067" s="1">
        <v>715000</v>
      </c>
      <c r="AB2067" s="1" t="s">
        <v>204</v>
      </c>
      <c r="AC2067" s="5">
        <v>44369</v>
      </c>
      <c r="AF2067" s="1">
        <v>10027</v>
      </c>
      <c r="AI2067" s="1" t="s">
        <v>169</v>
      </c>
      <c r="AJ2067" s="1">
        <v>2016</v>
      </c>
      <c r="AK2067" s="1" t="s">
        <v>133</v>
      </c>
      <c r="AL2067" s="1">
        <v>22</v>
      </c>
    </row>
    <row r="2068" spans="1:38" x14ac:dyDescent="0.2">
      <c r="A2068" s="2" t="str">
        <f>HYPERLINK("https://www.compass.com/listing/301-west-53rd-street-unit-14d-manhattan-ny-10019/29388149297845217/","301 W 53rd St, Unit 14D")</f>
        <v>301 W 53rd St, Unit 14D</v>
      </c>
      <c r="B2068" s="2" t="str">
        <f>HYPERLINK("https://www.compass.com/building/fifty-third-and-eighth-manhattan-ny/281944545158031557/","Fifty Third and Eighth")</f>
        <v>Fifty Third and Eighth</v>
      </c>
      <c r="C2068" s="1" t="s">
        <v>57</v>
      </c>
      <c r="D2068" s="1" t="s">
        <v>41</v>
      </c>
      <c r="E2068" s="3">
        <v>1403245</v>
      </c>
      <c r="F2068" s="1">
        <v>1778.51077313054</v>
      </c>
      <c r="G2068" s="1">
        <v>4</v>
      </c>
      <c r="H2068" s="1">
        <v>2</v>
      </c>
      <c r="I2068" s="1">
        <v>1</v>
      </c>
      <c r="J2068" s="1">
        <v>1</v>
      </c>
      <c r="M2068" s="1">
        <v>789</v>
      </c>
      <c r="N2068" s="1">
        <v>684</v>
      </c>
      <c r="O2068" s="1">
        <v>1570</v>
      </c>
      <c r="P2068" s="1">
        <v>886</v>
      </c>
      <c r="Q2068" s="1" t="s">
        <v>42</v>
      </c>
      <c r="S2068" s="1" t="s">
        <v>42</v>
      </c>
      <c r="T2068" s="1" t="s">
        <v>203</v>
      </c>
      <c r="V2068" s="5">
        <v>43668</v>
      </c>
      <c r="W2068" s="5">
        <v>42333</v>
      </c>
      <c r="X2068" s="1">
        <v>1445000</v>
      </c>
      <c r="Y2068" s="1">
        <v>1445000</v>
      </c>
      <c r="Z2068" s="5">
        <v>42333</v>
      </c>
      <c r="AA2068" s="1">
        <v>1403245</v>
      </c>
      <c r="AB2068" s="1" t="s">
        <v>1593</v>
      </c>
      <c r="AC2068" s="5">
        <v>42368</v>
      </c>
      <c r="AF2068" s="1">
        <v>10019</v>
      </c>
      <c r="AI2068" s="1" t="s">
        <v>76</v>
      </c>
      <c r="AJ2068" s="1">
        <v>2017</v>
      </c>
      <c r="AK2068" s="1" t="s">
        <v>50</v>
      </c>
      <c r="AL2068" s="1">
        <v>248</v>
      </c>
    </row>
    <row r="2069" spans="1:38" x14ac:dyDescent="0.2">
      <c r="A2069" s="2" t="str">
        <f>HYPERLINK("https://www.compass.com/listing/40-pinehurst-avenue-unit-ph7a-manhattan-ny-10033/213564870237371297/","40 Pinehurst Ave, Unit PH7A")</f>
        <v>40 Pinehurst Ave, Unit PH7A</v>
      </c>
      <c r="B2069" s="2" t="str">
        <f>HYPERLINK("https://www.compass.com/building/the-ammann-manhattan-ny/282011498950165109/","The Ammann")</f>
        <v>The Ammann</v>
      </c>
      <c r="C2069" s="1" t="s">
        <v>164</v>
      </c>
      <c r="D2069" s="1" t="s">
        <v>41</v>
      </c>
      <c r="E2069" s="3">
        <v>1328000</v>
      </c>
      <c r="F2069" s="1">
        <v>1078.7977254264799</v>
      </c>
      <c r="G2069" s="1">
        <v>4</v>
      </c>
      <c r="H2069" s="1">
        <v>2</v>
      </c>
      <c r="I2069" s="1">
        <v>2</v>
      </c>
      <c r="J2069" s="1">
        <v>2</v>
      </c>
      <c r="K2069" s="1">
        <v>2</v>
      </c>
      <c r="M2069" s="4">
        <v>1231</v>
      </c>
      <c r="N2069" s="1">
        <v>593.47</v>
      </c>
      <c r="O2069" s="1">
        <v>921.86</v>
      </c>
      <c r="P2069" s="1">
        <v>328.416666666666</v>
      </c>
      <c r="Q2069" s="1" t="s">
        <v>42</v>
      </c>
      <c r="S2069" s="1" t="s">
        <v>42</v>
      </c>
      <c r="T2069" s="1" t="s">
        <v>203</v>
      </c>
      <c r="V2069" s="5">
        <v>43697</v>
      </c>
      <c r="W2069" s="5">
        <v>43547</v>
      </c>
      <c r="X2069" s="1">
        <v>1328000</v>
      </c>
      <c r="Y2069" s="1">
        <v>1328000</v>
      </c>
      <c r="Z2069" s="5">
        <v>43547</v>
      </c>
      <c r="AA2069" s="1">
        <v>1328000</v>
      </c>
      <c r="AB2069" s="1" t="s">
        <v>1594</v>
      </c>
      <c r="AC2069" s="5">
        <v>43644</v>
      </c>
      <c r="AF2069" s="1">
        <v>10033</v>
      </c>
      <c r="AI2069" s="1" t="s">
        <v>123</v>
      </c>
      <c r="AJ2069" s="1">
        <v>2018</v>
      </c>
      <c r="AL2069" s="1">
        <v>24</v>
      </c>
    </row>
    <row r="2070" spans="1:38" x14ac:dyDescent="0.2">
      <c r="A2070" s="2" t="str">
        <f>HYPERLINK("https://www.compass.com/listing/301-west-53rd-street-unit-8d-manhattan-ny-10019/29388125717411697/","301 W 53rd St, Unit 8D")</f>
        <v>301 W 53rd St, Unit 8D</v>
      </c>
      <c r="B2070" s="2" t="str">
        <f t="shared" ref="B2070:B2074" si="346">HYPERLINK("https://www.compass.com/building/fifty-third-and-eighth-manhattan-ny/281944545158031557/","Fifty Third and Eighth")</f>
        <v>Fifty Third and Eighth</v>
      </c>
      <c r="C2070" s="1" t="s">
        <v>57</v>
      </c>
      <c r="D2070" s="1" t="s">
        <v>41</v>
      </c>
      <c r="E2070" s="3">
        <v>1385288</v>
      </c>
      <c r="F2070" s="1">
        <v>1755.7515842839</v>
      </c>
      <c r="G2070" s="1">
        <v>3</v>
      </c>
      <c r="H2070" s="1">
        <v>2</v>
      </c>
      <c r="I2070" s="1">
        <v>1</v>
      </c>
      <c r="J2070" s="1">
        <v>1</v>
      </c>
      <c r="M2070" s="1">
        <v>789</v>
      </c>
      <c r="N2070" s="1">
        <v>649</v>
      </c>
      <c r="O2070" s="1">
        <v>1823</v>
      </c>
      <c r="P2070" s="1">
        <v>1174</v>
      </c>
      <c r="Q2070" s="1" t="s">
        <v>42</v>
      </c>
      <c r="S2070" s="1" t="s">
        <v>42</v>
      </c>
      <c r="T2070" s="1" t="s">
        <v>203</v>
      </c>
      <c r="V2070" s="5">
        <v>43663</v>
      </c>
      <c r="W2070" s="5">
        <v>42712</v>
      </c>
      <c r="X2070" s="1">
        <v>1380000</v>
      </c>
      <c r="Y2070" s="1">
        <v>1380000</v>
      </c>
      <c r="Z2070" s="5">
        <v>42712</v>
      </c>
      <c r="AA2070" s="1">
        <v>1385288</v>
      </c>
      <c r="AB2070" s="1" t="s">
        <v>1595</v>
      </c>
      <c r="AC2070" s="5">
        <v>42767</v>
      </c>
      <c r="AF2070" s="1">
        <v>10019</v>
      </c>
      <c r="AI2070" s="1" t="s">
        <v>76</v>
      </c>
      <c r="AJ2070" s="1">
        <v>2017</v>
      </c>
      <c r="AK2070" s="1" t="s">
        <v>81</v>
      </c>
      <c r="AL2070" s="1">
        <v>248</v>
      </c>
    </row>
    <row r="2071" spans="1:38" x14ac:dyDescent="0.2">
      <c r="A2071" s="2" t="str">
        <f>HYPERLINK("https://www.compass.com/listing/301-west-53rd-street-unit-9b-manhattan-ny-10019/29388129274181537/","301 W 53rd St, Unit 9B")</f>
        <v>301 W 53rd St, Unit 9B</v>
      </c>
      <c r="B2071" s="2" t="str">
        <f t="shared" si="346"/>
        <v>Fifty Third and Eighth</v>
      </c>
      <c r="C2071" s="1" t="s">
        <v>57</v>
      </c>
      <c r="D2071" s="1" t="s">
        <v>41</v>
      </c>
      <c r="E2071" s="3">
        <v>1395360</v>
      </c>
      <c r="F2071" s="1">
        <v>1752.96537688442</v>
      </c>
      <c r="G2071" s="1">
        <v>4</v>
      </c>
      <c r="H2071" s="1">
        <v>2</v>
      </c>
      <c r="I2071" s="1">
        <v>1</v>
      </c>
      <c r="J2071" s="1">
        <v>1</v>
      </c>
      <c r="M2071" s="1">
        <v>796</v>
      </c>
      <c r="N2071" s="1">
        <v>673</v>
      </c>
      <c r="O2071" s="1">
        <v>1546</v>
      </c>
      <c r="P2071" s="1">
        <v>873</v>
      </c>
      <c r="Q2071" s="1" t="s">
        <v>42</v>
      </c>
      <c r="S2071" s="1" t="s">
        <v>42</v>
      </c>
      <c r="T2071" s="1" t="s">
        <v>203</v>
      </c>
      <c r="U2071" s="1">
        <v>478</v>
      </c>
      <c r="V2071" s="5">
        <v>42502</v>
      </c>
      <c r="W2071" s="5">
        <v>42013</v>
      </c>
      <c r="X2071" s="1">
        <v>1400000</v>
      </c>
      <c r="Y2071" s="1">
        <v>1400000</v>
      </c>
      <c r="Z2071" s="5">
        <v>42500</v>
      </c>
      <c r="AA2071" s="1">
        <v>1395360.44</v>
      </c>
      <c r="AB2071" s="1" t="s">
        <v>1596</v>
      </c>
      <c r="AC2071" s="5">
        <v>42492</v>
      </c>
      <c r="AF2071" s="1">
        <v>10019</v>
      </c>
      <c r="AI2071" s="1" t="s">
        <v>76</v>
      </c>
      <c r="AJ2071" s="1">
        <v>2017</v>
      </c>
      <c r="AK2071" s="1" t="s">
        <v>50</v>
      </c>
      <c r="AL2071" s="1">
        <v>248</v>
      </c>
    </row>
    <row r="2072" spans="1:38" x14ac:dyDescent="0.2">
      <c r="A2072" s="2" t="str">
        <f>HYPERLINK("https://www.compass.com/listing/301-west-53rd-street-unit-9d-manhattan-ny-10019/29388129953723041/","301 W 53rd St, Unit 9D")</f>
        <v>301 W 53rd St, Unit 9D</v>
      </c>
      <c r="B2072" s="2" t="str">
        <f t="shared" si="346"/>
        <v>Fifty Third and Eighth</v>
      </c>
      <c r="C2072" s="1" t="s">
        <v>57</v>
      </c>
      <c r="D2072" s="1" t="s">
        <v>41</v>
      </c>
      <c r="E2072" s="3">
        <v>1395313</v>
      </c>
      <c r="F2072" s="1">
        <v>1768.45754119138</v>
      </c>
      <c r="G2072" s="1">
        <v>4</v>
      </c>
      <c r="H2072" s="1">
        <v>2</v>
      </c>
      <c r="I2072" s="1">
        <v>1</v>
      </c>
      <c r="J2072" s="1">
        <v>1</v>
      </c>
      <c r="M2072" s="1">
        <v>789</v>
      </c>
      <c r="N2072" s="1">
        <v>652</v>
      </c>
      <c r="O2072" s="1">
        <v>1832</v>
      </c>
      <c r="P2072" s="1">
        <v>1180</v>
      </c>
      <c r="Q2072" s="1" t="s">
        <v>42</v>
      </c>
      <c r="S2072" s="1" t="s">
        <v>42</v>
      </c>
      <c r="T2072" s="1" t="s">
        <v>203</v>
      </c>
      <c r="V2072" s="5">
        <v>43663</v>
      </c>
      <c r="W2072" s="5">
        <v>42761</v>
      </c>
      <c r="X2072" s="1">
        <v>1390000</v>
      </c>
      <c r="Y2072" s="1">
        <v>1390000</v>
      </c>
      <c r="Z2072" s="5">
        <v>42761</v>
      </c>
      <c r="AA2072" s="1">
        <v>1395313</v>
      </c>
      <c r="AB2072" s="1" t="s">
        <v>1597</v>
      </c>
      <c r="AC2072" s="5">
        <v>42803</v>
      </c>
      <c r="AF2072" s="1">
        <v>10019</v>
      </c>
      <c r="AI2072" s="1" t="s">
        <v>76</v>
      </c>
      <c r="AJ2072" s="1">
        <v>2017</v>
      </c>
      <c r="AK2072" s="1" t="s">
        <v>81</v>
      </c>
      <c r="AL2072" s="1">
        <v>248</v>
      </c>
    </row>
    <row r="2073" spans="1:38" x14ac:dyDescent="0.2">
      <c r="A2073" s="2" t="str">
        <f>HYPERLINK("https://www.compass.com/listing/301-west-53rd-street-unit-10d-manhattan-ny-10019/29388133753762513/","301 W 53rd St, Unit 10D")</f>
        <v>301 W 53rd St, Unit 10D</v>
      </c>
      <c r="B2073" s="2" t="str">
        <f t="shared" si="346"/>
        <v>Fifty Third and Eighth</v>
      </c>
      <c r="C2073" s="1" t="s">
        <v>57</v>
      </c>
      <c r="D2073" s="1" t="s">
        <v>41</v>
      </c>
      <c r="E2073" s="3">
        <v>1405339</v>
      </c>
      <c r="F2073" s="1">
        <v>1781.1647655259801</v>
      </c>
      <c r="G2073" s="1">
        <v>4</v>
      </c>
      <c r="H2073" s="1">
        <v>2</v>
      </c>
      <c r="I2073" s="1">
        <v>1</v>
      </c>
      <c r="J2073" s="1">
        <v>1</v>
      </c>
      <c r="M2073" s="1">
        <v>789</v>
      </c>
      <c r="N2073" s="1">
        <v>671</v>
      </c>
      <c r="O2073" s="1">
        <v>1540</v>
      </c>
      <c r="P2073" s="1">
        <v>869</v>
      </c>
      <c r="Q2073" s="1" t="s">
        <v>42</v>
      </c>
      <c r="S2073" s="1" t="s">
        <v>42</v>
      </c>
      <c r="T2073" s="1" t="s">
        <v>203</v>
      </c>
      <c r="U2073" s="1">
        <v>564</v>
      </c>
      <c r="V2073" s="5">
        <v>43673</v>
      </c>
      <c r="W2073" s="5">
        <v>42014</v>
      </c>
      <c r="X2073" s="1">
        <v>1400000</v>
      </c>
      <c r="Y2073" s="1">
        <v>1400000</v>
      </c>
      <c r="AA2073" s="1">
        <v>1405339</v>
      </c>
      <c r="AB2073" s="1" t="s">
        <v>1598</v>
      </c>
      <c r="AC2073" s="5">
        <v>42579</v>
      </c>
      <c r="AF2073" s="1">
        <v>10019</v>
      </c>
      <c r="AI2073" s="1" t="s">
        <v>76</v>
      </c>
      <c r="AJ2073" s="1">
        <v>2017</v>
      </c>
      <c r="AK2073" s="1" t="s">
        <v>50</v>
      </c>
      <c r="AL2073" s="1">
        <v>248</v>
      </c>
    </row>
    <row r="2074" spans="1:38" x14ac:dyDescent="0.2">
      <c r="A2074" s="2" t="str">
        <f>HYPERLINK("https://www.compass.com/listing/301-west-53rd-street-unit-7d-manhattan-ny-10019/29507299097797921/","301 W 53rd St, Unit 7D")</f>
        <v>301 W 53rd St, Unit 7D</v>
      </c>
      <c r="B2074" s="2" t="str">
        <f t="shared" si="346"/>
        <v>Fifty Third and Eighth</v>
      </c>
      <c r="C2074" s="1" t="s">
        <v>57</v>
      </c>
      <c r="D2074" s="1" t="s">
        <v>41</v>
      </c>
      <c r="E2074" s="3">
        <v>1375262</v>
      </c>
      <c r="F2074" s="1">
        <v>1743.0443599493001</v>
      </c>
      <c r="G2074" s="1">
        <v>4</v>
      </c>
      <c r="H2074" s="1">
        <v>2</v>
      </c>
      <c r="I2074" s="1">
        <v>1</v>
      </c>
      <c r="J2074" s="1">
        <v>1</v>
      </c>
      <c r="M2074" s="1">
        <v>789</v>
      </c>
      <c r="N2074" s="1">
        <v>646</v>
      </c>
      <c r="O2074" s="1">
        <v>1814</v>
      </c>
      <c r="P2074" s="1">
        <v>1168</v>
      </c>
      <c r="Q2074" s="1" t="s">
        <v>42</v>
      </c>
      <c r="S2074" s="1" t="s">
        <v>42</v>
      </c>
      <c r="T2074" s="1" t="s">
        <v>203</v>
      </c>
      <c r="V2074" s="5">
        <v>43673</v>
      </c>
      <c r="W2074" s="5">
        <v>42704</v>
      </c>
      <c r="X2074" s="1">
        <v>1370000</v>
      </c>
      <c r="Y2074" s="1">
        <v>1370000</v>
      </c>
      <c r="Z2074" s="5">
        <v>42704</v>
      </c>
      <c r="AA2074" s="1">
        <v>1375262</v>
      </c>
      <c r="AB2074" s="1" t="s">
        <v>1599</v>
      </c>
      <c r="AC2074" s="5">
        <v>42720</v>
      </c>
      <c r="AF2074" s="1">
        <v>10019</v>
      </c>
      <c r="AI2074" s="1" t="s">
        <v>76</v>
      </c>
      <c r="AJ2074" s="1">
        <v>2017</v>
      </c>
      <c r="AK2074" s="1" t="s">
        <v>81</v>
      </c>
      <c r="AL2074" s="1">
        <v>248</v>
      </c>
    </row>
    <row r="2075" spans="1:38" x14ac:dyDescent="0.2">
      <c r="A2075" s="2" t="str">
        <f>HYPERLINK("https://www.compass.com/listing/775-riverside-drive-unit-4f-manhattan-ny-10032/29435474904957857/","775 Riverside Dr, Unit 4F")</f>
        <v>775 Riverside Dr, Unit 4F</v>
      </c>
      <c r="B2075" s="2" t="str">
        <f>HYPERLINK("https://www.compass.com/building/775-riverside-dr-manhattan-ny-10032/294837409665591813/","775 Riverside Dr")</f>
        <v>775 Riverside Dr</v>
      </c>
      <c r="C2075" s="1" t="s">
        <v>164</v>
      </c>
      <c r="D2075" s="1" t="s">
        <v>41</v>
      </c>
      <c r="E2075" s="3">
        <v>301158</v>
      </c>
      <c r="F2075" s="1">
        <v>635.35443037974596</v>
      </c>
      <c r="G2075" s="1">
        <v>3</v>
      </c>
      <c r="H2075" s="1">
        <v>1</v>
      </c>
      <c r="I2075" s="1">
        <v>1</v>
      </c>
      <c r="J2075" s="1">
        <v>1</v>
      </c>
      <c r="M2075" s="1">
        <v>474</v>
      </c>
      <c r="N2075" s="1">
        <v>322</v>
      </c>
      <c r="O2075" s="1">
        <v>410</v>
      </c>
      <c r="P2075" s="1">
        <v>88</v>
      </c>
      <c r="Q2075" s="1" t="s">
        <v>42</v>
      </c>
      <c r="S2075" s="1" t="s">
        <v>42</v>
      </c>
      <c r="T2075" s="1" t="s">
        <v>203</v>
      </c>
      <c r="U2075" s="1">
        <v>31</v>
      </c>
      <c r="V2075" s="5">
        <v>43663</v>
      </c>
      <c r="W2075" s="5">
        <v>42081</v>
      </c>
      <c r="X2075" s="1">
        <v>297000</v>
      </c>
      <c r="Y2075" s="1">
        <v>297000</v>
      </c>
      <c r="Z2075" s="5">
        <v>42112</v>
      </c>
      <c r="AA2075" s="1">
        <v>301158</v>
      </c>
      <c r="AB2075" s="1" t="s">
        <v>1600</v>
      </c>
      <c r="AC2075" s="5">
        <v>42361</v>
      </c>
      <c r="AF2075" s="1">
        <v>10032</v>
      </c>
      <c r="AJ2075" s="1">
        <v>1931</v>
      </c>
    </row>
    <row r="2076" spans="1:38" x14ac:dyDescent="0.2">
      <c r="A2076" s="2" t="str">
        <f>HYPERLINK("https://www.compass.com/listing/591-3rd-avenue-unit-12a-manhattan-ny-10016/132051193194147505/","591 3rd Ave, Unit 12A")</f>
        <v>591 3rd Ave, Unit 12A</v>
      </c>
      <c r="B2076" s="2" t="str">
        <f>HYPERLINK("https://www.compass.com/building/the-lindley-manhattan-ny/282058799928343829/","The Lindley")</f>
        <v>The Lindley</v>
      </c>
      <c r="C2076" s="1" t="s">
        <v>165</v>
      </c>
      <c r="D2076" s="1" t="s">
        <v>41</v>
      </c>
      <c r="E2076" s="3">
        <v>1840000</v>
      </c>
      <c r="F2076" s="1">
        <v>1708.4493964716801</v>
      </c>
      <c r="G2076" s="1">
        <v>4</v>
      </c>
      <c r="H2076" s="1">
        <v>2</v>
      </c>
      <c r="I2076" s="1">
        <v>2</v>
      </c>
      <c r="J2076" s="1">
        <v>2</v>
      </c>
      <c r="K2076" s="1">
        <v>2</v>
      </c>
      <c r="M2076" s="4">
        <v>1077</v>
      </c>
      <c r="N2076" s="1">
        <v>1541.87</v>
      </c>
      <c r="O2076" s="1">
        <v>2120.9699999999998</v>
      </c>
      <c r="P2076" s="1">
        <v>579.08333333333303</v>
      </c>
      <c r="Q2076" s="1" t="s">
        <v>42</v>
      </c>
      <c r="S2076" s="1" t="s">
        <v>42</v>
      </c>
      <c r="T2076" s="1" t="s">
        <v>203</v>
      </c>
      <c r="U2076" s="1">
        <v>163</v>
      </c>
      <c r="V2076" s="5">
        <v>43683</v>
      </c>
      <c r="W2076" s="5">
        <v>43433</v>
      </c>
      <c r="X2076" s="1">
        <v>2190000</v>
      </c>
      <c r="Y2076" s="1">
        <v>2190000</v>
      </c>
      <c r="Z2076" s="5">
        <v>43597</v>
      </c>
      <c r="AA2076" s="1">
        <v>1840000</v>
      </c>
      <c r="AB2076" s="1" t="s">
        <v>1601</v>
      </c>
      <c r="AC2076" s="5">
        <v>43668</v>
      </c>
      <c r="AF2076" s="1">
        <v>10016</v>
      </c>
      <c r="AI2076" s="1" t="s">
        <v>1464</v>
      </c>
      <c r="AJ2076" s="1">
        <v>2018</v>
      </c>
      <c r="AK2076" s="1" t="s">
        <v>87</v>
      </c>
      <c r="AL2076" s="1">
        <v>74</v>
      </c>
    </row>
    <row r="2077" spans="1:38" x14ac:dyDescent="0.2">
      <c r="A2077" s="2" t="str">
        <f>HYPERLINK("https://www.compass.com/listing/301-west-53rd-street-unit-6b-manhattan-ny-10019/29388116120899905/","301 W 53rd St, Unit 6B")</f>
        <v>301 W 53rd St, Unit 6B</v>
      </c>
      <c r="B2077" s="2" t="str">
        <f t="shared" ref="B2077:B2079" si="347">HYPERLINK("https://www.compass.com/building/fifty-third-and-eighth-manhattan-ny/281944545158031557/","Fifty Third and Eighth")</f>
        <v>Fifty Third and Eighth</v>
      </c>
      <c r="C2077" s="1" t="s">
        <v>57</v>
      </c>
      <c r="D2077" s="1" t="s">
        <v>41</v>
      </c>
      <c r="E2077" s="3">
        <v>1400286</v>
      </c>
      <c r="F2077" s="1">
        <v>1759.15326633165</v>
      </c>
      <c r="G2077" s="1">
        <v>4</v>
      </c>
      <c r="H2077" s="1">
        <v>2</v>
      </c>
      <c r="I2077" s="1">
        <v>1</v>
      </c>
      <c r="J2077" s="1">
        <v>1</v>
      </c>
      <c r="M2077" s="1">
        <v>796</v>
      </c>
      <c r="N2077" s="1">
        <v>648</v>
      </c>
      <c r="O2077" s="1">
        <v>1821</v>
      </c>
      <c r="P2077" s="1">
        <v>1173</v>
      </c>
      <c r="Q2077" s="1" t="s">
        <v>42</v>
      </c>
      <c r="S2077" s="1" t="s">
        <v>42</v>
      </c>
      <c r="T2077" s="1" t="s">
        <v>203</v>
      </c>
      <c r="U2077" s="1">
        <v>176</v>
      </c>
      <c r="V2077" s="5">
        <v>43668</v>
      </c>
      <c r="W2077" s="5">
        <v>42494</v>
      </c>
      <c r="X2077" s="1">
        <v>1370000</v>
      </c>
      <c r="Y2077" s="1">
        <v>1370000</v>
      </c>
      <c r="Z2077" s="5">
        <v>42670</v>
      </c>
      <c r="AA2077" s="1">
        <v>1400286</v>
      </c>
      <c r="AB2077" s="1" t="s">
        <v>1602</v>
      </c>
      <c r="AC2077" s="5">
        <v>42754</v>
      </c>
      <c r="AF2077" s="1">
        <v>10019</v>
      </c>
      <c r="AI2077" s="1" t="s">
        <v>76</v>
      </c>
      <c r="AJ2077" s="1">
        <v>2017</v>
      </c>
      <c r="AK2077" s="1" t="s">
        <v>81</v>
      </c>
      <c r="AL2077" s="1">
        <v>248</v>
      </c>
    </row>
    <row r="2078" spans="1:38" x14ac:dyDescent="0.2">
      <c r="A2078" s="2" t="str">
        <f>HYPERLINK("https://www.compass.com/listing/301-west-53rd-street-unit-7b-manhattan-ny-10019/29388120441041393/","301 W 53rd St, Unit 7B")</f>
        <v>301 W 53rd St, Unit 7B</v>
      </c>
      <c r="B2078" s="2" t="str">
        <f t="shared" si="347"/>
        <v>Fifty Third and Eighth</v>
      </c>
      <c r="C2078" s="1" t="s">
        <v>57</v>
      </c>
      <c r="D2078" s="1" t="s">
        <v>41</v>
      </c>
      <c r="E2078" s="3">
        <v>1385309</v>
      </c>
      <c r="F2078" s="1">
        <v>1740.3379396984899</v>
      </c>
      <c r="G2078" s="1">
        <v>4</v>
      </c>
      <c r="H2078" s="1">
        <v>2</v>
      </c>
      <c r="I2078" s="1">
        <v>1</v>
      </c>
      <c r="J2078" s="1">
        <v>1</v>
      </c>
      <c r="M2078" s="1">
        <v>796</v>
      </c>
      <c r="N2078" s="1">
        <v>649</v>
      </c>
      <c r="O2078" s="1">
        <v>1582</v>
      </c>
      <c r="P2078" s="1">
        <v>933</v>
      </c>
      <c r="Q2078" s="1" t="s">
        <v>42</v>
      </c>
      <c r="S2078" s="1" t="s">
        <v>42</v>
      </c>
      <c r="T2078" s="1" t="s">
        <v>203</v>
      </c>
      <c r="U2078" s="1">
        <v>73</v>
      </c>
      <c r="V2078" s="5">
        <v>43677</v>
      </c>
      <c r="W2078" s="5">
        <v>42419</v>
      </c>
      <c r="X2078" s="1">
        <v>1380000</v>
      </c>
      <c r="Y2078" s="1">
        <v>1380000</v>
      </c>
      <c r="Z2078" s="5">
        <v>42492</v>
      </c>
      <c r="AA2078" s="1">
        <v>1385309</v>
      </c>
      <c r="AB2078" s="1" t="s">
        <v>1603</v>
      </c>
      <c r="AC2078" s="5">
        <v>42552</v>
      </c>
      <c r="AF2078" s="1">
        <v>10019</v>
      </c>
      <c r="AI2078" s="1" t="s">
        <v>76</v>
      </c>
      <c r="AJ2078" s="1">
        <v>2017</v>
      </c>
      <c r="AK2078" s="1" t="s">
        <v>50</v>
      </c>
      <c r="AL2078" s="1">
        <v>248</v>
      </c>
    </row>
    <row r="2079" spans="1:38" x14ac:dyDescent="0.2">
      <c r="A2079" s="2" t="str">
        <f>HYPERLINK("https://www.compass.com/listing/301-west-53rd-street-unit-11d-manhattan-ny-10019/29388138157781809/","301 W 53rd St, Unit 11D")</f>
        <v>301 W 53rd St, Unit 11D</v>
      </c>
      <c r="B2079" s="2" t="str">
        <f t="shared" si="347"/>
        <v>Fifty Third and Eighth</v>
      </c>
      <c r="C2079" s="1" t="s">
        <v>57</v>
      </c>
      <c r="D2079" s="1" t="s">
        <v>41</v>
      </c>
      <c r="E2079" s="3">
        <v>1415365</v>
      </c>
      <c r="F2079" s="1">
        <v>1769.20625</v>
      </c>
      <c r="G2079" s="1">
        <v>4</v>
      </c>
      <c r="H2079" s="1">
        <v>2</v>
      </c>
      <c r="I2079" s="1">
        <v>1</v>
      </c>
      <c r="J2079" s="1">
        <v>1</v>
      </c>
      <c r="M2079" s="1">
        <v>800</v>
      </c>
      <c r="N2079" s="1">
        <v>656</v>
      </c>
      <c r="O2079" s="1">
        <v>1599</v>
      </c>
      <c r="P2079" s="1">
        <v>943</v>
      </c>
      <c r="Q2079" s="1" t="s">
        <v>42</v>
      </c>
      <c r="S2079" s="1" t="s">
        <v>42</v>
      </c>
      <c r="T2079" s="1" t="s">
        <v>203</v>
      </c>
      <c r="U2079" s="1">
        <v>23</v>
      </c>
      <c r="V2079" s="5">
        <v>43678</v>
      </c>
      <c r="W2079" s="5">
        <v>42419</v>
      </c>
      <c r="X2079" s="1">
        <v>1410000</v>
      </c>
      <c r="Y2079" s="1">
        <v>1410000</v>
      </c>
      <c r="Z2079" s="5">
        <v>42442</v>
      </c>
      <c r="AA2079" s="1">
        <v>1415365</v>
      </c>
      <c r="AB2079" s="1" t="s">
        <v>1604</v>
      </c>
      <c r="AC2079" s="5">
        <v>42510</v>
      </c>
      <c r="AF2079" s="1">
        <v>10019</v>
      </c>
      <c r="AI2079" s="1" t="s">
        <v>76</v>
      </c>
      <c r="AJ2079" s="1">
        <v>2017</v>
      </c>
      <c r="AK2079" s="1" t="s">
        <v>81</v>
      </c>
      <c r="AL2079" s="1">
        <v>248</v>
      </c>
    </row>
    <row r="2080" spans="1:38" x14ac:dyDescent="0.2">
      <c r="A2080" s="2" t="str">
        <f>HYPERLINK("https://www.compass.com/listing/591-3rd-avenue-unit-19b-manhattan-ny-10016/29509775884640657/","591 3rd Ave, Unit 19B")</f>
        <v>591 3rd Ave, Unit 19B</v>
      </c>
      <c r="B2080" s="2" t="str">
        <f>HYPERLINK("https://www.compass.com/building/the-lindley-manhattan-ny/282058799928343829/","The Lindley")</f>
        <v>The Lindley</v>
      </c>
      <c r="C2080" s="1" t="s">
        <v>165</v>
      </c>
      <c r="D2080" s="1" t="s">
        <v>41</v>
      </c>
      <c r="E2080" s="3">
        <v>2204511</v>
      </c>
      <c r="F2080" s="1">
        <v>1915.30060816681</v>
      </c>
      <c r="G2080" s="1">
        <v>4</v>
      </c>
      <c r="H2080" s="1">
        <v>2</v>
      </c>
      <c r="I2080" s="1">
        <v>2</v>
      </c>
      <c r="J2080" s="1">
        <v>2</v>
      </c>
      <c r="K2080" s="1">
        <v>2</v>
      </c>
      <c r="M2080" s="4">
        <v>1151</v>
      </c>
      <c r="N2080" s="1">
        <v>1694.26</v>
      </c>
      <c r="O2080" s="1">
        <v>2330.6</v>
      </c>
      <c r="P2080" s="1">
        <v>636.33333333333303</v>
      </c>
      <c r="Q2080" s="1" t="s">
        <v>42</v>
      </c>
      <c r="S2080" s="1" t="s">
        <v>42</v>
      </c>
      <c r="T2080" s="1" t="s">
        <v>203</v>
      </c>
      <c r="U2080" s="1">
        <v>440</v>
      </c>
      <c r="V2080" s="5">
        <v>43643</v>
      </c>
      <c r="W2080" s="5">
        <v>42923</v>
      </c>
      <c r="X2080" s="1">
        <v>2305000</v>
      </c>
      <c r="Y2080" s="1">
        <v>2305000</v>
      </c>
      <c r="Z2080" s="5">
        <v>43363</v>
      </c>
      <c r="AA2080" s="1">
        <v>2204511</v>
      </c>
      <c r="AB2080" s="1" t="s">
        <v>1605</v>
      </c>
      <c r="AC2080" s="5">
        <v>43447</v>
      </c>
      <c r="AF2080" s="1">
        <v>10016</v>
      </c>
      <c r="AI2080" s="1" t="s">
        <v>1464</v>
      </c>
      <c r="AJ2080" s="1">
        <v>2018</v>
      </c>
      <c r="AK2080" s="1" t="s">
        <v>87</v>
      </c>
      <c r="AL2080" s="1">
        <v>74</v>
      </c>
    </row>
    <row r="2081" spans="1:38" x14ac:dyDescent="0.2">
      <c r="A2081" s="2" t="str">
        <f>HYPERLINK("https://www.compass.com/listing/301-west-53rd-street-unit-12d-manhattan-ny-10019/29388142402409313/","301 W 53rd St, Unit 12D")</f>
        <v>301 W 53rd St, Unit 12D</v>
      </c>
      <c r="B2081" s="2" t="str">
        <f t="shared" ref="B2081:B2085" si="348">HYPERLINK("https://www.compass.com/building/fifty-third-and-eighth-manhattan-ny/281944545158031557/","Fifty Third and Eighth")</f>
        <v>Fifty Third and Eighth</v>
      </c>
      <c r="C2081" s="1" t="s">
        <v>57</v>
      </c>
      <c r="D2081" s="1" t="s">
        <v>41</v>
      </c>
      <c r="E2081" s="3">
        <v>1438191</v>
      </c>
      <c r="F2081" s="1">
        <v>1822.8022813688201</v>
      </c>
      <c r="G2081" s="1">
        <v>3</v>
      </c>
      <c r="H2081" s="1">
        <v>1</v>
      </c>
      <c r="I2081" s="1">
        <v>1</v>
      </c>
      <c r="J2081" s="1">
        <v>1</v>
      </c>
      <c r="M2081" s="1">
        <v>789</v>
      </c>
      <c r="N2081" s="1">
        <v>677</v>
      </c>
      <c r="O2081" s="1">
        <v>1555</v>
      </c>
      <c r="P2081" s="1">
        <v>878</v>
      </c>
      <c r="Q2081" s="1" t="s">
        <v>42</v>
      </c>
      <c r="S2081" s="1" t="s">
        <v>42</v>
      </c>
      <c r="T2081" s="1" t="s">
        <v>203</v>
      </c>
      <c r="V2081" s="5">
        <v>43664</v>
      </c>
      <c r="W2081" s="5">
        <v>42544</v>
      </c>
      <c r="X2081" s="1">
        <v>1425000</v>
      </c>
      <c r="Y2081" s="1">
        <v>1425000</v>
      </c>
      <c r="Z2081" s="5">
        <v>42544</v>
      </c>
      <c r="AA2081" s="1">
        <v>1438191</v>
      </c>
      <c r="AB2081" s="1" t="s">
        <v>1606</v>
      </c>
      <c r="AC2081" s="5">
        <v>42607</v>
      </c>
      <c r="AF2081" s="1">
        <v>10019</v>
      </c>
      <c r="AI2081" s="1" t="s">
        <v>76</v>
      </c>
      <c r="AJ2081" s="1">
        <v>2017</v>
      </c>
      <c r="AK2081" s="1" t="s">
        <v>50</v>
      </c>
      <c r="AL2081" s="1">
        <v>248</v>
      </c>
    </row>
    <row r="2082" spans="1:38" x14ac:dyDescent="0.2">
      <c r="A2082" s="2" t="str">
        <f>HYPERLINK("https://www.compass.com/listing/301-west-53rd-street-unit-13d-manhattan-ny-10019/29388146412108017/","301 W 53rd St, Unit 13D")</f>
        <v>301 W 53rd St, Unit 13D</v>
      </c>
      <c r="B2082" s="2" t="str">
        <f t="shared" si="348"/>
        <v>Fifty Third and Eighth</v>
      </c>
      <c r="C2082" s="1" t="s">
        <v>57</v>
      </c>
      <c r="D2082" s="1" t="s">
        <v>41</v>
      </c>
      <c r="E2082" s="3">
        <v>1460057</v>
      </c>
      <c r="F2082" s="1">
        <v>1850.51584283903</v>
      </c>
      <c r="G2082" s="1">
        <v>3</v>
      </c>
      <c r="H2082" s="1">
        <v>1</v>
      </c>
      <c r="I2082" s="1">
        <v>1</v>
      </c>
      <c r="J2082" s="1">
        <v>1</v>
      </c>
      <c r="M2082" s="1">
        <v>789</v>
      </c>
      <c r="N2082" s="1">
        <v>680</v>
      </c>
      <c r="O2082" s="1">
        <v>1562</v>
      </c>
      <c r="P2082" s="1">
        <v>882</v>
      </c>
      <c r="Q2082" s="1" t="s">
        <v>42</v>
      </c>
      <c r="S2082" s="1" t="s">
        <v>42</v>
      </c>
      <c r="T2082" s="1" t="s">
        <v>203</v>
      </c>
      <c r="V2082" s="5">
        <v>43676</v>
      </c>
      <c r="W2082" s="5">
        <v>42508</v>
      </c>
      <c r="X2082" s="1">
        <v>1435000</v>
      </c>
      <c r="Y2082" s="1">
        <v>1435000</v>
      </c>
      <c r="Z2082" s="5">
        <v>42508</v>
      </c>
      <c r="AA2082" s="1">
        <v>1460057</v>
      </c>
      <c r="AB2082" s="1" t="s">
        <v>1607</v>
      </c>
      <c r="AC2082" s="5">
        <v>42528</v>
      </c>
      <c r="AF2082" s="1">
        <v>10019</v>
      </c>
      <c r="AI2082" s="1" t="s">
        <v>76</v>
      </c>
      <c r="AJ2082" s="1">
        <v>2017</v>
      </c>
      <c r="AK2082" s="1" t="s">
        <v>50</v>
      </c>
      <c r="AL2082" s="1">
        <v>248</v>
      </c>
    </row>
    <row r="2083" spans="1:38" x14ac:dyDescent="0.2">
      <c r="A2083" s="2" t="str">
        <f>HYPERLINK("https://www.compass.com/listing/301-west-53rd-street-unit-11b-manhattan-ny-10019/29388137385965649/","301 W 53rd St, Unit 11B")</f>
        <v>301 W 53rd St, Unit 11B</v>
      </c>
      <c r="B2083" s="2" t="str">
        <f t="shared" si="348"/>
        <v>Fifty Third and Eighth</v>
      </c>
      <c r="C2083" s="1" t="s">
        <v>57</v>
      </c>
      <c r="D2083" s="1" t="s">
        <v>41</v>
      </c>
      <c r="E2083" s="3">
        <v>1451327</v>
      </c>
      <c r="F2083" s="1">
        <v>1823.27515075376</v>
      </c>
      <c r="G2083" s="1">
        <v>4</v>
      </c>
      <c r="H2083" s="1">
        <v>2</v>
      </c>
      <c r="I2083" s="1">
        <v>1</v>
      </c>
      <c r="J2083" s="1">
        <v>1</v>
      </c>
      <c r="M2083" s="1">
        <v>796</v>
      </c>
      <c r="N2083" s="1">
        <v>680</v>
      </c>
      <c r="O2083" s="1">
        <v>1561</v>
      </c>
      <c r="P2083" s="1">
        <v>881</v>
      </c>
      <c r="Q2083" s="1" t="s">
        <v>42</v>
      </c>
      <c r="S2083" s="1" t="s">
        <v>42</v>
      </c>
      <c r="T2083" s="1" t="s">
        <v>203</v>
      </c>
      <c r="U2083" s="1">
        <v>437</v>
      </c>
      <c r="V2083" s="5">
        <v>42978</v>
      </c>
      <c r="W2083" s="5">
        <v>42013</v>
      </c>
      <c r="X2083" s="1">
        <v>1420000</v>
      </c>
      <c r="Y2083" s="1">
        <v>1420000</v>
      </c>
      <c r="Z2083" s="5">
        <v>42451</v>
      </c>
      <c r="AA2083" s="1">
        <v>1451327.02</v>
      </c>
      <c r="AB2083" s="1" t="s">
        <v>1608</v>
      </c>
      <c r="AC2083" s="5">
        <v>42488</v>
      </c>
      <c r="AF2083" s="1">
        <v>10019</v>
      </c>
      <c r="AI2083" s="1" t="s">
        <v>76</v>
      </c>
      <c r="AJ2083" s="1">
        <v>2017</v>
      </c>
      <c r="AK2083" s="1" t="s">
        <v>50</v>
      </c>
      <c r="AL2083" s="1">
        <v>248</v>
      </c>
    </row>
    <row r="2084" spans="1:38" x14ac:dyDescent="0.2">
      <c r="A2084" s="2" t="str">
        <f>HYPERLINK("https://www.compass.com/listing/301-west-53rd-street-unit-17d-manhattan-ny-10019/29388163097049825/","301 W 53rd St, Unit 17D")</f>
        <v>301 W 53rd St, Unit 17D</v>
      </c>
      <c r="B2084" s="2" t="str">
        <f t="shared" si="348"/>
        <v>Fifty Third and Eighth</v>
      </c>
      <c r="C2084" s="1" t="s">
        <v>57</v>
      </c>
      <c r="D2084" s="1" t="s">
        <v>41</v>
      </c>
      <c r="E2084" s="3">
        <v>1421159</v>
      </c>
      <c r="F2084" s="1">
        <v>1801.21577946768</v>
      </c>
      <c r="G2084" s="1">
        <v>4</v>
      </c>
      <c r="H2084" s="1">
        <v>2</v>
      </c>
      <c r="I2084" s="1">
        <v>1</v>
      </c>
      <c r="J2084" s="1">
        <v>1</v>
      </c>
      <c r="M2084" s="1">
        <v>789</v>
      </c>
      <c r="N2084" s="1">
        <v>670</v>
      </c>
      <c r="O2084" s="1">
        <v>1634</v>
      </c>
      <c r="P2084" s="1">
        <v>964</v>
      </c>
      <c r="Q2084" s="1" t="s">
        <v>42</v>
      </c>
      <c r="S2084" s="1" t="s">
        <v>42</v>
      </c>
      <c r="T2084" s="1" t="s">
        <v>203</v>
      </c>
      <c r="U2084" s="1">
        <v>251</v>
      </c>
      <c r="V2084" s="5">
        <v>42872</v>
      </c>
      <c r="W2084" s="5">
        <v>42013</v>
      </c>
      <c r="X2084" s="1">
        <v>1480000</v>
      </c>
      <c r="Y2084" s="1">
        <v>1480000</v>
      </c>
      <c r="AA2084" s="1">
        <v>1421159.25</v>
      </c>
      <c r="AB2084" s="1" t="s">
        <v>1609</v>
      </c>
      <c r="AC2084" s="5">
        <v>42265</v>
      </c>
      <c r="AF2084" s="1">
        <v>10019</v>
      </c>
      <c r="AI2084" s="1" t="s">
        <v>76</v>
      </c>
      <c r="AJ2084" s="1">
        <v>2017</v>
      </c>
      <c r="AK2084" s="1" t="s">
        <v>50</v>
      </c>
      <c r="AL2084" s="1">
        <v>248</v>
      </c>
    </row>
    <row r="2085" spans="1:38" x14ac:dyDescent="0.2">
      <c r="A2085" s="2" t="str">
        <f>HYPERLINK("https://www.compass.com/listing/301-west-53rd-street-unit-17b-manhattan-ny-10019/29388162291799249/","301 W 53rd St, Unit 17B")</f>
        <v>301 W 53rd St, Unit 17B</v>
      </c>
      <c r="B2085" s="2" t="str">
        <f t="shared" si="348"/>
        <v>Fifty Third and Eighth</v>
      </c>
      <c r="C2085" s="1" t="s">
        <v>57</v>
      </c>
      <c r="D2085" s="1" t="s">
        <v>41</v>
      </c>
      <c r="E2085" s="3">
        <v>1400000</v>
      </c>
      <c r="F2085" s="1">
        <v>1820.5461638491499</v>
      </c>
      <c r="G2085" s="1">
        <v>4</v>
      </c>
      <c r="H2085" s="1">
        <v>2</v>
      </c>
      <c r="I2085" s="1">
        <v>1</v>
      </c>
      <c r="J2085" s="1">
        <v>1</v>
      </c>
      <c r="K2085" s="1">
        <v>1</v>
      </c>
      <c r="M2085" s="1">
        <v>769</v>
      </c>
      <c r="N2085" s="1">
        <v>682</v>
      </c>
      <c r="O2085" s="1">
        <v>1919</v>
      </c>
      <c r="P2085" s="1">
        <v>1237</v>
      </c>
      <c r="Q2085" s="1" t="s">
        <v>42</v>
      </c>
      <c r="S2085" s="1" t="s">
        <v>42</v>
      </c>
      <c r="T2085" s="1" t="s">
        <v>203</v>
      </c>
      <c r="U2085" s="1">
        <v>277</v>
      </c>
      <c r="V2085" s="5">
        <v>44225</v>
      </c>
      <c r="W2085" s="5">
        <v>42888</v>
      </c>
      <c r="X2085" s="1">
        <v>1600000</v>
      </c>
      <c r="Y2085" s="1">
        <v>1500000</v>
      </c>
      <c r="Z2085" s="5">
        <v>43165</v>
      </c>
      <c r="AA2085" s="1">
        <v>1400000</v>
      </c>
      <c r="AB2085" s="1" t="s">
        <v>1610</v>
      </c>
      <c r="AC2085" s="5">
        <v>43209</v>
      </c>
      <c r="AF2085" s="1">
        <v>10019</v>
      </c>
      <c r="AI2085" s="1" t="s">
        <v>154</v>
      </c>
      <c r="AJ2085" s="1">
        <v>2017</v>
      </c>
      <c r="AK2085" s="1" t="s">
        <v>50</v>
      </c>
      <c r="AL2085" s="1">
        <v>248</v>
      </c>
    </row>
    <row r="2086" spans="1:38" x14ac:dyDescent="0.2">
      <c r="A2086" s="2" t="str">
        <f>HYPERLINK("https://www.compass.com/listing/591-3rd-avenue-unit-18a-manhattan-ny-10016/29509768813018193/","591 3rd Ave, Unit 18A")</f>
        <v>591 3rd Ave, Unit 18A</v>
      </c>
      <c r="B2086" s="2" t="str">
        <f t="shared" ref="B2086:B2087" si="349">HYPERLINK("https://www.compass.com/building/the-lindley-manhattan-ny/282058799928343829/","The Lindley")</f>
        <v>The Lindley</v>
      </c>
      <c r="C2086" s="1" t="s">
        <v>165</v>
      </c>
      <c r="D2086" s="1" t="s">
        <v>41</v>
      </c>
      <c r="E2086" s="3">
        <v>2701363</v>
      </c>
      <c r="F2086" s="1">
        <v>1854.05833905284</v>
      </c>
      <c r="G2086" s="1">
        <v>5</v>
      </c>
      <c r="H2086" s="1">
        <v>3</v>
      </c>
      <c r="I2086" s="1">
        <v>2</v>
      </c>
      <c r="J2086" s="1">
        <v>2</v>
      </c>
      <c r="K2086" s="1">
        <v>2</v>
      </c>
      <c r="M2086" s="4">
        <v>1457</v>
      </c>
      <c r="N2086" s="1">
        <v>2134.8000000000002</v>
      </c>
      <c r="O2086" s="1">
        <v>2936.59</v>
      </c>
      <c r="P2086" s="1">
        <v>801.75</v>
      </c>
      <c r="Q2086" s="1" t="s">
        <v>42</v>
      </c>
      <c r="S2086" s="1" t="s">
        <v>42</v>
      </c>
      <c r="T2086" s="1" t="s">
        <v>203</v>
      </c>
      <c r="U2086" s="1">
        <v>532</v>
      </c>
      <c r="V2086" s="5">
        <v>43670</v>
      </c>
      <c r="W2086" s="5">
        <v>42985</v>
      </c>
      <c r="X2086" s="1">
        <v>3025000</v>
      </c>
      <c r="Y2086" s="1">
        <v>3095000</v>
      </c>
      <c r="Z2086" s="5">
        <v>43517</v>
      </c>
      <c r="AA2086" s="1">
        <v>2701363</v>
      </c>
      <c r="AB2086" s="1" t="s">
        <v>1611</v>
      </c>
      <c r="AC2086" s="5">
        <v>43554</v>
      </c>
      <c r="AF2086" s="1">
        <v>10016</v>
      </c>
      <c r="AI2086" s="1" t="s">
        <v>1612</v>
      </c>
      <c r="AJ2086" s="1">
        <v>2018</v>
      </c>
      <c r="AK2086" s="1" t="s">
        <v>87</v>
      </c>
      <c r="AL2086" s="1">
        <v>74</v>
      </c>
    </row>
    <row r="2087" spans="1:38" x14ac:dyDescent="0.2">
      <c r="A2087" s="2" t="str">
        <f>HYPERLINK("https://www.compass.com/listing/591-3rd-avenue-unit-16a-manhattan-ny-10016/29509770608124625/","591 3rd Ave, Unit 16A")</f>
        <v>591 3rd Ave, Unit 16A</v>
      </c>
      <c r="B2087" s="2" t="str">
        <f t="shared" si="349"/>
        <v>The Lindley</v>
      </c>
      <c r="C2087" s="1" t="s">
        <v>165</v>
      </c>
      <c r="D2087" s="1" t="s">
        <v>41</v>
      </c>
      <c r="E2087" s="3">
        <v>3334769</v>
      </c>
      <c r="F2087" s="1">
        <v>2288.7913520933398</v>
      </c>
      <c r="G2087" s="1">
        <v>5</v>
      </c>
      <c r="H2087" s="1">
        <v>3</v>
      </c>
      <c r="I2087" s="1">
        <v>2</v>
      </c>
      <c r="J2087" s="1">
        <v>2</v>
      </c>
      <c r="K2087" s="1">
        <v>2</v>
      </c>
      <c r="M2087" s="4">
        <v>1457</v>
      </c>
      <c r="N2087" s="1">
        <v>2232.87</v>
      </c>
      <c r="O2087" s="1">
        <v>3071.5</v>
      </c>
      <c r="P2087" s="1">
        <v>838.66666666666595</v>
      </c>
      <c r="Q2087" s="1" t="s">
        <v>42</v>
      </c>
      <c r="S2087" s="1" t="s">
        <v>42</v>
      </c>
      <c r="T2087" s="1" t="s">
        <v>203</v>
      </c>
      <c r="U2087" s="1">
        <v>40</v>
      </c>
      <c r="V2087" s="5">
        <v>43638</v>
      </c>
      <c r="W2087" s="5">
        <v>43044</v>
      </c>
      <c r="X2087" s="1">
        <v>3275000</v>
      </c>
      <c r="Y2087" s="1">
        <v>3275000</v>
      </c>
      <c r="Z2087" s="5">
        <v>43084</v>
      </c>
      <c r="AA2087" s="1">
        <v>3334769</v>
      </c>
      <c r="AB2087" s="1" t="s">
        <v>1613</v>
      </c>
      <c r="AC2087" s="5">
        <v>43411</v>
      </c>
      <c r="AF2087" s="1">
        <v>10016</v>
      </c>
      <c r="AI2087" s="1" t="s">
        <v>1464</v>
      </c>
      <c r="AJ2087" s="1">
        <v>2018</v>
      </c>
      <c r="AK2087" s="1" t="s">
        <v>87</v>
      </c>
      <c r="AL2087" s="1">
        <v>74</v>
      </c>
    </row>
    <row r="2088" spans="1:38" x14ac:dyDescent="0.2">
      <c r="A2088" s="2" t="str">
        <f>HYPERLINK("https://www.compass.com/listing/775-riverside-drive-unit-1a-manhattan-ny-10032/325199140211939809/","775 Riverside Dr, Unit 1A")</f>
        <v>775 Riverside Dr, Unit 1A</v>
      </c>
      <c r="B2088" s="2" t="str">
        <f>HYPERLINK("https://www.compass.com/building/775-riverside-dr-manhattan-ny-10032/294837409665591813/","775 Riverside Dr")</f>
        <v>775 Riverside Dr</v>
      </c>
      <c r="C2088" s="1" t="s">
        <v>164</v>
      </c>
      <c r="D2088" s="1" t="s">
        <v>41</v>
      </c>
      <c r="E2088" s="3">
        <v>395750</v>
      </c>
      <c r="F2088" s="1">
        <v>681.15318416523201</v>
      </c>
      <c r="G2088" s="1">
        <v>3</v>
      </c>
      <c r="H2088" s="1">
        <v>1</v>
      </c>
      <c r="I2088" s="1">
        <v>1</v>
      </c>
      <c r="J2088" s="1">
        <v>1</v>
      </c>
      <c r="K2088" s="1">
        <v>1</v>
      </c>
      <c r="M2088" s="1">
        <v>581</v>
      </c>
      <c r="N2088" s="1">
        <v>348</v>
      </c>
      <c r="O2088" s="1">
        <v>594</v>
      </c>
      <c r="P2088" s="1">
        <v>246</v>
      </c>
      <c r="Q2088" s="1" t="s">
        <v>143</v>
      </c>
      <c r="S2088" s="1" t="s">
        <v>42</v>
      </c>
      <c r="T2088" s="1" t="s">
        <v>203</v>
      </c>
      <c r="U2088" s="1">
        <v>175</v>
      </c>
      <c r="V2088" s="5">
        <v>43958</v>
      </c>
      <c r="W2088" s="5">
        <v>43700</v>
      </c>
      <c r="Y2088" s="1">
        <v>399000</v>
      </c>
      <c r="Z2088" s="5">
        <v>43876</v>
      </c>
      <c r="AA2088" s="1">
        <v>395750</v>
      </c>
      <c r="AB2088" s="1" t="s">
        <v>1614</v>
      </c>
      <c r="AC2088" s="5">
        <v>43956</v>
      </c>
      <c r="AF2088" s="1">
        <v>10032</v>
      </c>
      <c r="AJ2088" s="1">
        <v>1931</v>
      </c>
    </row>
    <row r="2089" spans="1:38" x14ac:dyDescent="0.2">
      <c r="A2089" s="2" t="str">
        <f>HYPERLINK("https://www.compass.com/listing/301-west-53rd-street-unit-12j-manhattan-ny-10019/29388144466006913/","301 W 53rd St, Unit 12J")</f>
        <v>301 W 53rd St, Unit 12J</v>
      </c>
      <c r="B2089" s="2" t="str">
        <f t="shared" ref="B2089:B2093" si="350">HYPERLINK("https://www.compass.com/building/fifty-third-and-eighth-manhattan-ny/281944545158031557/","Fifty Third and Eighth")</f>
        <v>Fifty Third and Eighth</v>
      </c>
      <c r="C2089" s="1" t="s">
        <v>57</v>
      </c>
      <c r="D2089" s="1" t="s">
        <v>41</v>
      </c>
      <c r="E2089" s="3">
        <v>1149990</v>
      </c>
      <c r="F2089" s="1">
        <v>1696.1502064896699</v>
      </c>
      <c r="H2089" s="1">
        <v>1</v>
      </c>
      <c r="J2089" s="1">
        <v>1</v>
      </c>
      <c r="K2089" s="1">
        <v>1</v>
      </c>
      <c r="M2089" s="1">
        <v>678</v>
      </c>
      <c r="N2089" s="1">
        <v>661</v>
      </c>
      <c r="O2089" s="1">
        <v>1468</v>
      </c>
      <c r="P2089" s="1">
        <v>807</v>
      </c>
      <c r="Q2089" s="1" t="s">
        <v>42</v>
      </c>
      <c r="S2089" s="1" t="s">
        <v>42</v>
      </c>
      <c r="T2089" s="1" t="s">
        <v>203</v>
      </c>
      <c r="AA2089" s="1">
        <v>1149989.8400000001</v>
      </c>
      <c r="AB2089" s="1" t="s">
        <v>1615</v>
      </c>
      <c r="AC2089" s="5">
        <v>42320</v>
      </c>
      <c r="AF2089" s="1">
        <v>10019</v>
      </c>
      <c r="AI2089" s="1" t="s">
        <v>76</v>
      </c>
      <c r="AJ2089" s="1">
        <v>2017</v>
      </c>
      <c r="AK2089" s="1" t="s">
        <v>50</v>
      </c>
      <c r="AL2089" s="1">
        <v>248</v>
      </c>
    </row>
    <row r="2090" spans="1:38" x14ac:dyDescent="0.2">
      <c r="A2090" s="2" t="str">
        <f>HYPERLINK("https://www.compass.com/listing/301-west-53rd-street-unit-18j-manhattan-ny-10019/29388169447226193/","301 W 53rd St, Unit 18J")</f>
        <v>301 W 53rd St, Unit 18J</v>
      </c>
      <c r="B2090" s="2" t="str">
        <f t="shared" si="350"/>
        <v>Fifty Third and Eighth</v>
      </c>
      <c r="C2090" s="1" t="s">
        <v>57</v>
      </c>
      <c r="D2090" s="1" t="s">
        <v>41</v>
      </c>
      <c r="E2090" s="3">
        <v>1058654</v>
      </c>
      <c r="F2090" s="1">
        <v>1561.43585545722</v>
      </c>
      <c r="H2090" s="1">
        <v>1</v>
      </c>
      <c r="J2090" s="1">
        <v>1</v>
      </c>
      <c r="M2090" s="1">
        <v>678</v>
      </c>
      <c r="N2090" s="1">
        <v>598</v>
      </c>
      <c r="O2090" s="1">
        <v>1374</v>
      </c>
      <c r="P2090" s="1">
        <v>776</v>
      </c>
      <c r="Q2090" s="1" t="s">
        <v>42</v>
      </c>
      <c r="S2090" s="1" t="s">
        <v>42</v>
      </c>
      <c r="T2090" s="1" t="s">
        <v>203</v>
      </c>
      <c r="AA2090" s="1">
        <v>1058653.51</v>
      </c>
      <c r="AB2090" s="1" t="s">
        <v>1616</v>
      </c>
      <c r="AC2090" s="5">
        <v>42909</v>
      </c>
      <c r="AF2090" s="1">
        <v>10019</v>
      </c>
      <c r="AI2090" s="1" t="s">
        <v>76</v>
      </c>
      <c r="AJ2090" s="1">
        <v>2017</v>
      </c>
      <c r="AK2090" s="1" t="s">
        <v>50</v>
      </c>
      <c r="AL2090" s="1">
        <v>248</v>
      </c>
    </row>
    <row r="2091" spans="1:38" x14ac:dyDescent="0.2">
      <c r="A2091" s="2" t="str">
        <f>HYPERLINK("https://www.compass.com/listing/301-west-53rd-street-unit-22h-manhattan-ny-10019/29388181493267521/","301 W 53rd St, Unit 22H")</f>
        <v>301 W 53rd St, Unit 22H</v>
      </c>
      <c r="B2091" s="2" t="str">
        <f t="shared" si="350"/>
        <v>Fifty Third and Eighth</v>
      </c>
      <c r="C2091" s="1" t="s">
        <v>57</v>
      </c>
      <c r="D2091" s="1" t="s">
        <v>41</v>
      </c>
      <c r="E2091" s="3">
        <v>1162774</v>
      </c>
      <c r="F2091" s="1">
        <v>1743.28970014992</v>
      </c>
      <c r="H2091" s="1">
        <v>1</v>
      </c>
      <c r="J2091" s="1">
        <v>1</v>
      </c>
      <c r="M2091" s="1">
        <v>667</v>
      </c>
      <c r="N2091" s="1">
        <v>586</v>
      </c>
      <c r="O2091" s="1">
        <v>1767</v>
      </c>
      <c r="P2091" s="1">
        <v>1181</v>
      </c>
      <c r="Q2091" s="1" t="s">
        <v>42</v>
      </c>
      <c r="S2091" s="1" t="s">
        <v>42</v>
      </c>
      <c r="T2091" s="1" t="s">
        <v>203</v>
      </c>
      <c r="AA2091" s="1">
        <v>1162774.23</v>
      </c>
      <c r="AB2091" s="1" t="s">
        <v>1617</v>
      </c>
      <c r="AC2091" s="5">
        <v>43206</v>
      </c>
      <c r="AF2091" s="1">
        <v>10019</v>
      </c>
      <c r="AI2091" s="1" t="s">
        <v>76</v>
      </c>
      <c r="AJ2091" s="1">
        <v>2017</v>
      </c>
      <c r="AK2091" s="1" t="s">
        <v>50</v>
      </c>
      <c r="AL2091" s="1">
        <v>248</v>
      </c>
    </row>
    <row r="2092" spans="1:38" x14ac:dyDescent="0.2">
      <c r="A2092" s="2" t="str">
        <f>HYPERLINK("https://www.compass.com/listing/301-west-53rd-street-unit-22i-manhattan-ny-10019/29388181963085425/","301 W 53rd St, Unit 22I")</f>
        <v>301 W 53rd St, Unit 22I</v>
      </c>
      <c r="B2092" s="2" t="str">
        <f t="shared" si="350"/>
        <v>Fifty Third and Eighth</v>
      </c>
      <c r="C2092" s="1" t="s">
        <v>57</v>
      </c>
      <c r="D2092" s="1" t="s">
        <v>41</v>
      </c>
      <c r="E2092" s="3">
        <v>1095320</v>
      </c>
      <c r="F2092" s="1">
        <v>1642.1588755622099</v>
      </c>
      <c r="H2092" s="1">
        <v>1</v>
      </c>
      <c r="J2092" s="1">
        <v>1</v>
      </c>
      <c r="M2092" s="1">
        <v>667</v>
      </c>
      <c r="N2092" s="1">
        <v>586</v>
      </c>
      <c r="O2092" s="1">
        <v>1646</v>
      </c>
      <c r="P2092" s="1">
        <v>1060</v>
      </c>
      <c r="Q2092" s="1" t="s">
        <v>42</v>
      </c>
      <c r="S2092" s="1" t="s">
        <v>42</v>
      </c>
      <c r="T2092" s="1" t="s">
        <v>203</v>
      </c>
      <c r="AA2092" s="1">
        <v>1095319.97</v>
      </c>
      <c r="AB2092" s="1" t="s">
        <v>1618</v>
      </c>
      <c r="AC2092" s="5">
        <v>43040</v>
      </c>
      <c r="AF2092" s="1">
        <v>10019</v>
      </c>
      <c r="AI2092" s="1" t="s">
        <v>76</v>
      </c>
      <c r="AJ2092" s="1">
        <v>2017</v>
      </c>
      <c r="AK2092" s="1" t="s">
        <v>50</v>
      </c>
      <c r="AL2092" s="1">
        <v>248</v>
      </c>
    </row>
    <row r="2093" spans="1:38" x14ac:dyDescent="0.2">
      <c r="A2093" s="2" t="str">
        <f>HYPERLINK("https://www.compass.com/listing/301-west-53rd-street-unit-21i-manhattan-ny-10019/841256373177806441/","301 W 53rd St, Unit 21I")</f>
        <v>301 W 53rd St, Unit 21I</v>
      </c>
      <c r="B2093" s="2" t="str">
        <f t="shared" si="350"/>
        <v>Fifty Third and Eighth</v>
      </c>
      <c r="C2093" s="1" t="s">
        <v>57</v>
      </c>
      <c r="D2093" s="1" t="s">
        <v>41</v>
      </c>
      <c r="E2093" s="3">
        <v>1134753</v>
      </c>
      <c r="F2093" s="1">
        <v>1701.2782758620599</v>
      </c>
      <c r="H2093" s="1">
        <v>1</v>
      </c>
      <c r="J2093" s="1">
        <v>1</v>
      </c>
      <c r="M2093" s="1">
        <v>667</v>
      </c>
      <c r="N2093" s="1">
        <v>583</v>
      </c>
      <c r="O2093" s="1">
        <v>1638</v>
      </c>
      <c r="P2093" s="1">
        <v>1055</v>
      </c>
      <c r="Q2093" s="1" t="s">
        <v>42</v>
      </c>
      <c r="S2093" s="1" t="s">
        <v>42</v>
      </c>
      <c r="T2093" s="1" t="s">
        <v>203</v>
      </c>
      <c r="AA2093" s="1">
        <v>1134752.6100000001</v>
      </c>
      <c r="AB2093" s="1" t="s">
        <v>1619</v>
      </c>
      <c r="AC2093" s="5">
        <v>43000</v>
      </c>
      <c r="AF2093" s="1">
        <v>10019</v>
      </c>
      <c r="AI2093" s="1" t="s">
        <v>76</v>
      </c>
      <c r="AJ2093" s="1">
        <v>2017</v>
      </c>
      <c r="AK2093" s="1" t="s">
        <v>50</v>
      </c>
      <c r="AL2093" s="1">
        <v>248</v>
      </c>
    </row>
    <row r="2094" spans="1:38" x14ac:dyDescent="0.2">
      <c r="A2094" s="2" t="str">
        <f>HYPERLINK("https://www.compass.com/listing/591-3rd-avenue-unit-10b-manhattan-ny-10016/29509770339770465/","591 3rd Ave, Unit 10B")</f>
        <v>591 3rd Ave, Unit 10B</v>
      </c>
      <c r="B2094" s="2" t="str">
        <f t="shared" ref="B2094:B2095" si="351">HYPERLINK("https://www.compass.com/building/the-lindley-manhattan-ny/282058799928343829/","The Lindley")</f>
        <v>The Lindley</v>
      </c>
      <c r="C2094" s="1" t="s">
        <v>165</v>
      </c>
      <c r="D2094" s="1" t="s">
        <v>41</v>
      </c>
      <c r="E2094" s="3">
        <v>2392888</v>
      </c>
      <c r="F2094" s="1">
        <v>1869.4437499999999</v>
      </c>
      <c r="G2094" s="1">
        <v>4</v>
      </c>
      <c r="H2094" s="1">
        <v>2</v>
      </c>
      <c r="I2094" s="1">
        <v>2</v>
      </c>
      <c r="J2094" s="1">
        <v>2</v>
      </c>
      <c r="K2094" s="1">
        <v>2</v>
      </c>
      <c r="M2094" s="4">
        <v>1280</v>
      </c>
      <c r="N2094" s="1">
        <v>1814.39</v>
      </c>
      <c r="O2094" s="1">
        <v>2495.84</v>
      </c>
      <c r="P2094" s="1">
        <v>681.41666666666595</v>
      </c>
      <c r="Q2094" s="1" t="s">
        <v>42</v>
      </c>
      <c r="S2094" s="1" t="s">
        <v>42</v>
      </c>
      <c r="T2094" s="1" t="s">
        <v>203</v>
      </c>
      <c r="V2094" s="5">
        <v>43638</v>
      </c>
      <c r="W2094" s="5">
        <v>42970</v>
      </c>
      <c r="X2094" s="1">
        <v>2350000</v>
      </c>
      <c r="Y2094" s="1">
        <v>2350000</v>
      </c>
      <c r="Z2094" s="5">
        <v>42970</v>
      </c>
      <c r="AA2094" s="1">
        <v>2392888</v>
      </c>
      <c r="AB2094" s="1" t="s">
        <v>1620</v>
      </c>
      <c r="AC2094" s="5">
        <v>43393</v>
      </c>
      <c r="AF2094" s="1">
        <v>10016</v>
      </c>
      <c r="AI2094" s="1" t="s">
        <v>1464</v>
      </c>
      <c r="AJ2094" s="1">
        <v>2018</v>
      </c>
      <c r="AK2094" s="1" t="s">
        <v>87</v>
      </c>
      <c r="AL2094" s="1">
        <v>74</v>
      </c>
    </row>
    <row r="2095" spans="1:38" x14ac:dyDescent="0.2">
      <c r="A2095" s="2" t="str">
        <f>HYPERLINK("https://www.compass.com/listing/591-3rd-avenue-unit-11a-manhattan-ny-10016/29509770977279201/","591 3rd Ave, Unit 11A")</f>
        <v>591 3rd Ave, Unit 11A</v>
      </c>
      <c r="B2095" s="2" t="str">
        <f t="shared" si="351"/>
        <v>The Lindley</v>
      </c>
      <c r="C2095" s="1" t="s">
        <v>165</v>
      </c>
      <c r="D2095" s="1" t="s">
        <v>41</v>
      </c>
      <c r="E2095" s="3">
        <v>2130000</v>
      </c>
      <c r="F2095" s="1">
        <v>1977.7158774373199</v>
      </c>
      <c r="G2095" s="1">
        <v>4</v>
      </c>
      <c r="H2095" s="1">
        <v>2</v>
      </c>
      <c r="I2095" s="1">
        <v>2</v>
      </c>
      <c r="J2095" s="1">
        <v>2</v>
      </c>
      <c r="K2095" s="1">
        <v>2</v>
      </c>
      <c r="M2095" s="4">
        <v>1077</v>
      </c>
      <c r="N2095" s="1">
        <v>1533.96</v>
      </c>
      <c r="O2095" s="1">
        <v>2110.09</v>
      </c>
      <c r="P2095" s="1">
        <v>576.16666666666595</v>
      </c>
      <c r="Q2095" s="1" t="s">
        <v>42</v>
      </c>
      <c r="S2095" s="1" t="s">
        <v>42</v>
      </c>
      <c r="T2095" s="1" t="s">
        <v>203</v>
      </c>
      <c r="U2095" s="1">
        <v>184</v>
      </c>
      <c r="V2095" s="5">
        <v>43648</v>
      </c>
      <c r="W2095" s="5">
        <v>42970</v>
      </c>
      <c r="X2095" s="1">
        <v>2130000</v>
      </c>
      <c r="Y2095" s="1">
        <v>2130000</v>
      </c>
      <c r="Z2095" s="5">
        <v>43154</v>
      </c>
      <c r="AA2095" s="1">
        <v>2130000</v>
      </c>
      <c r="AB2095" s="1" t="s">
        <v>1621</v>
      </c>
      <c r="AC2095" s="5">
        <v>43378</v>
      </c>
      <c r="AF2095" s="1">
        <v>10016</v>
      </c>
      <c r="AI2095" s="1" t="s">
        <v>1464</v>
      </c>
      <c r="AJ2095" s="1">
        <v>2018</v>
      </c>
      <c r="AK2095" s="1" t="s">
        <v>87</v>
      </c>
      <c r="AL2095" s="1">
        <v>74</v>
      </c>
    </row>
    <row r="2096" spans="1:38" x14ac:dyDescent="0.2">
      <c r="A2096" s="2" t="str">
        <f>HYPERLINK("https://www.compass.com/listing/775-riverside-drive-unit-1l-manhattan-ny-10032/451508515694190345/","775 Riverside Dr, Unit 1L")</f>
        <v>775 Riverside Dr, Unit 1L</v>
      </c>
      <c r="B2096" s="2" t="str">
        <f>HYPERLINK("https://www.compass.com/building/775-riverside-dr-manhattan-ny-10032/294837409665591813/","775 Riverside Dr")</f>
        <v>775 Riverside Dr</v>
      </c>
      <c r="C2096" s="1" t="s">
        <v>164</v>
      </c>
      <c r="D2096" s="1" t="s">
        <v>41</v>
      </c>
      <c r="E2096" s="3">
        <v>465000</v>
      </c>
      <c r="F2096" s="1">
        <v>651.26050420167996</v>
      </c>
      <c r="G2096" s="1">
        <v>3</v>
      </c>
      <c r="H2096" s="1">
        <v>1</v>
      </c>
      <c r="I2096" s="1">
        <v>1</v>
      </c>
      <c r="J2096" s="1">
        <v>1</v>
      </c>
      <c r="K2096" s="1">
        <v>1</v>
      </c>
      <c r="M2096" s="1">
        <v>714</v>
      </c>
      <c r="N2096" s="1">
        <v>427</v>
      </c>
      <c r="O2096" s="1">
        <v>722</v>
      </c>
      <c r="P2096" s="1">
        <v>295</v>
      </c>
      <c r="Q2096" s="1" t="s">
        <v>42</v>
      </c>
      <c r="S2096" s="1" t="s">
        <v>42</v>
      </c>
      <c r="T2096" s="1" t="s">
        <v>203</v>
      </c>
      <c r="U2096" s="1">
        <v>39</v>
      </c>
      <c r="V2096" s="5">
        <v>44114</v>
      </c>
      <c r="W2096" s="5">
        <v>43875</v>
      </c>
      <c r="X2096" s="1">
        <v>480000</v>
      </c>
      <c r="Y2096" s="1">
        <v>480000</v>
      </c>
      <c r="Z2096" s="5">
        <v>44009</v>
      </c>
      <c r="AA2096" s="1">
        <v>465000</v>
      </c>
      <c r="AB2096" s="1" t="s">
        <v>1622</v>
      </c>
      <c r="AC2096" s="5">
        <v>44113</v>
      </c>
      <c r="AF2096" s="1">
        <v>10032</v>
      </c>
      <c r="AJ2096" s="1">
        <v>1931</v>
      </c>
    </row>
    <row r="2097" spans="1:38" x14ac:dyDescent="0.2">
      <c r="A2097" s="2" t="str">
        <f>HYPERLINK("https://www.compass.com/listing/591-3rd-avenue-unit-20a-manhattan-ny-10016/29509776253658113/","591 3rd Ave, Unit 20A")</f>
        <v>591 3rd Ave, Unit 20A</v>
      </c>
      <c r="B2097" s="2" t="str">
        <f t="shared" ref="B2097:B2098" si="352">HYPERLINK("https://www.compass.com/building/the-lindley-manhattan-ny/282058799928343829/","The Lindley")</f>
        <v>The Lindley</v>
      </c>
      <c r="C2097" s="1" t="s">
        <v>165</v>
      </c>
      <c r="D2097" s="1" t="s">
        <v>41</v>
      </c>
      <c r="E2097" s="3">
        <v>2450000</v>
      </c>
      <c r="F2097" s="1">
        <v>1881.7204301075201</v>
      </c>
      <c r="G2097" s="1">
        <v>4</v>
      </c>
      <c r="H2097" s="1">
        <v>2</v>
      </c>
      <c r="I2097" s="1">
        <v>2</v>
      </c>
      <c r="J2097" s="1">
        <v>2</v>
      </c>
      <c r="K2097" s="1">
        <v>2</v>
      </c>
      <c r="M2097" s="4">
        <v>1302</v>
      </c>
      <c r="N2097" s="1">
        <v>1922.44</v>
      </c>
      <c r="O2097" s="1">
        <v>2644.47</v>
      </c>
      <c r="P2097" s="1">
        <v>722</v>
      </c>
      <c r="Q2097" s="1" t="s">
        <v>42</v>
      </c>
      <c r="S2097" s="1" t="s">
        <v>42</v>
      </c>
      <c r="T2097" s="1" t="s">
        <v>203</v>
      </c>
      <c r="U2097" s="1">
        <v>657</v>
      </c>
      <c r="V2097" s="5">
        <v>43697</v>
      </c>
      <c r="W2097" s="5">
        <v>42923</v>
      </c>
      <c r="X2097" s="1">
        <v>2725000</v>
      </c>
      <c r="Y2097" s="1">
        <v>2795000</v>
      </c>
      <c r="Z2097" s="5">
        <v>43580</v>
      </c>
      <c r="AA2097" s="1">
        <v>2450000</v>
      </c>
      <c r="AB2097" s="1" t="s">
        <v>1623</v>
      </c>
      <c r="AC2097" s="5">
        <v>43642</v>
      </c>
      <c r="AF2097" s="1">
        <v>10016</v>
      </c>
      <c r="AI2097" s="1" t="s">
        <v>1464</v>
      </c>
      <c r="AJ2097" s="1">
        <v>2018</v>
      </c>
      <c r="AK2097" s="1" t="s">
        <v>87</v>
      </c>
      <c r="AL2097" s="1">
        <v>74</v>
      </c>
    </row>
    <row r="2098" spans="1:38" x14ac:dyDescent="0.2">
      <c r="A2098" s="2" t="str">
        <f>HYPERLINK("https://www.compass.com/listing/591-3rd-avenue-unit-17a-manhattan-ny-10016/29509773770711313/","591 3rd Ave, Unit 17A")</f>
        <v>591 3rd Ave, Unit 17A</v>
      </c>
      <c r="B2098" s="2" t="str">
        <f t="shared" si="352"/>
        <v>The Lindley</v>
      </c>
      <c r="C2098" s="1" t="s">
        <v>165</v>
      </c>
      <c r="D2098" s="1" t="s">
        <v>41</v>
      </c>
      <c r="E2098" s="3">
        <v>2952925</v>
      </c>
      <c r="F2098" s="1">
        <v>2026.71585449553</v>
      </c>
      <c r="G2098" s="1">
        <v>5</v>
      </c>
      <c r="H2098" s="1">
        <v>3</v>
      </c>
      <c r="I2098" s="1">
        <v>2</v>
      </c>
      <c r="J2098" s="1">
        <v>2</v>
      </c>
      <c r="K2098" s="1">
        <v>2</v>
      </c>
      <c r="M2098" s="4">
        <v>1457</v>
      </c>
      <c r="N2098" s="1">
        <v>2124.83</v>
      </c>
      <c r="O2098" s="1">
        <v>2922.87</v>
      </c>
      <c r="P2098" s="1">
        <v>798</v>
      </c>
      <c r="Q2098" s="1" t="s">
        <v>42</v>
      </c>
      <c r="S2098" s="1" t="s">
        <v>42</v>
      </c>
      <c r="T2098" s="1" t="s">
        <v>203</v>
      </c>
      <c r="U2098" s="1">
        <v>22</v>
      </c>
      <c r="V2098" s="5">
        <v>43647</v>
      </c>
      <c r="W2098" s="5">
        <v>42923</v>
      </c>
      <c r="X2098" s="1">
        <v>2900000</v>
      </c>
      <c r="Y2098" s="1">
        <v>2900000</v>
      </c>
      <c r="Z2098" s="5">
        <v>42945</v>
      </c>
      <c r="AA2098" s="1">
        <v>2952925</v>
      </c>
      <c r="AB2098" s="1" t="s">
        <v>1624</v>
      </c>
      <c r="AC2098" s="5">
        <v>43392</v>
      </c>
      <c r="AF2098" s="1">
        <v>10016</v>
      </c>
      <c r="AI2098" s="1" t="s">
        <v>1464</v>
      </c>
      <c r="AJ2098" s="1">
        <v>2018</v>
      </c>
      <c r="AK2098" s="1" t="s">
        <v>87</v>
      </c>
      <c r="AL2098" s="1">
        <v>74</v>
      </c>
    </row>
    <row r="2099" spans="1:38" x14ac:dyDescent="0.2">
      <c r="A2099" s="2" t="str">
        <f>HYPERLINK("https://www.compass.com/listing/301-west-53rd-street-unit-10b-manhattan-ny-10019/29388132931614705/","301 W 53rd St, Unit 10B")</f>
        <v>301 W 53rd St, Unit 10B</v>
      </c>
      <c r="B2099" s="2" t="str">
        <f t="shared" ref="B2099:B2100" si="353">HYPERLINK("https://www.compass.com/building/fifty-third-and-eighth-manhattan-ny/281944545158031557/","Fifty Third and Eighth")</f>
        <v>Fifty Third and Eighth</v>
      </c>
      <c r="C2099" s="1" t="s">
        <v>57</v>
      </c>
      <c r="D2099" s="1" t="s">
        <v>41</v>
      </c>
      <c r="E2099" s="3">
        <v>1437114</v>
      </c>
      <c r="F2099" s="1">
        <v>1805.41959798994</v>
      </c>
      <c r="G2099" s="1">
        <v>4</v>
      </c>
      <c r="H2099" s="1">
        <v>2</v>
      </c>
      <c r="I2099" s="1">
        <v>1</v>
      </c>
      <c r="J2099" s="1">
        <v>1</v>
      </c>
      <c r="M2099" s="1">
        <v>796</v>
      </c>
      <c r="N2099" s="1">
        <v>654</v>
      </c>
      <c r="O2099" s="1">
        <v>1595</v>
      </c>
      <c r="P2099" s="1">
        <v>941</v>
      </c>
      <c r="Q2099" s="1" t="s">
        <v>42</v>
      </c>
      <c r="S2099" s="1" t="s">
        <v>42</v>
      </c>
      <c r="T2099" s="1" t="s">
        <v>203</v>
      </c>
      <c r="V2099" s="5">
        <v>43654</v>
      </c>
      <c r="W2099" s="5">
        <v>42278</v>
      </c>
      <c r="X2099" s="1">
        <v>1410000</v>
      </c>
      <c r="Y2099" s="1">
        <v>1410000</v>
      </c>
      <c r="Z2099" s="5">
        <v>42278</v>
      </c>
      <c r="AA2099" s="1">
        <v>1437114</v>
      </c>
      <c r="AB2099" s="1" t="s">
        <v>1625</v>
      </c>
      <c r="AC2099" s="5">
        <v>42284</v>
      </c>
      <c r="AF2099" s="1">
        <v>10019</v>
      </c>
      <c r="AI2099" s="1" t="s">
        <v>76</v>
      </c>
      <c r="AJ2099" s="1">
        <v>2017</v>
      </c>
      <c r="AK2099" s="1" t="s">
        <v>50</v>
      </c>
      <c r="AL2099" s="1">
        <v>248</v>
      </c>
    </row>
    <row r="2100" spans="1:38" x14ac:dyDescent="0.2">
      <c r="A2100" s="2" t="str">
        <f>HYPERLINK("https://www.compass.com/listing/301-west-53rd-street-unit-18b-manhattan-ny-10019/29388166670596881/","301 W 53rd St, Unit 18B")</f>
        <v>301 W 53rd St, Unit 18B</v>
      </c>
      <c r="B2100" s="2" t="str">
        <f t="shared" si="353"/>
        <v>Fifty Third and Eighth</v>
      </c>
      <c r="C2100" s="1" t="s">
        <v>57</v>
      </c>
      <c r="D2100" s="1" t="s">
        <v>41</v>
      </c>
      <c r="E2100" s="3">
        <v>1421750</v>
      </c>
      <c r="F2100" s="1">
        <v>1786.11809045226</v>
      </c>
      <c r="G2100" s="1">
        <v>4</v>
      </c>
      <c r="H2100" s="1">
        <v>2</v>
      </c>
      <c r="I2100" s="1">
        <v>1</v>
      </c>
      <c r="J2100" s="1">
        <v>1</v>
      </c>
      <c r="M2100" s="1">
        <v>796</v>
      </c>
      <c r="N2100" s="1">
        <v>679</v>
      </c>
      <c r="O2100" s="1">
        <v>1656</v>
      </c>
      <c r="P2100" s="1">
        <v>977</v>
      </c>
      <c r="Q2100" s="1" t="s">
        <v>42</v>
      </c>
      <c r="S2100" s="1" t="s">
        <v>42</v>
      </c>
      <c r="T2100" s="1" t="s">
        <v>203</v>
      </c>
      <c r="V2100" s="5">
        <v>43651</v>
      </c>
      <c r="W2100" s="5">
        <v>42278</v>
      </c>
      <c r="X2100" s="1">
        <v>1496750</v>
      </c>
      <c r="Y2100" s="1">
        <v>1496750</v>
      </c>
      <c r="Z2100" s="5">
        <v>42278</v>
      </c>
      <c r="AA2100" s="1">
        <v>1421750</v>
      </c>
      <c r="AB2100" s="1" t="s">
        <v>204</v>
      </c>
      <c r="AC2100" s="5">
        <v>42278</v>
      </c>
      <c r="AF2100" s="1">
        <v>10019</v>
      </c>
      <c r="AI2100" s="1" t="s">
        <v>76</v>
      </c>
      <c r="AJ2100" s="1">
        <v>2017</v>
      </c>
      <c r="AK2100" s="1" t="s">
        <v>50</v>
      </c>
      <c r="AL2100" s="1">
        <v>248</v>
      </c>
    </row>
    <row r="2101" spans="1:38" x14ac:dyDescent="0.2">
      <c r="A2101" s="2" t="str">
        <f>HYPERLINK("https://www.compass.com/listing/40-pinehurst-avenue-unit-ph7b-manhattan-ny-10033/345455066661755201/","40 Pinehurst Ave, Unit PH7B")</f>
        <v>40 Pinehurst Ave, Unit PH7B</v>
      </c>
      <c r="B2101" s="2" t="str">
        <f>HYPERLINK("https://www.compass.com/building/the-ammann-manhattan-ny/282011498950165109/","The Ammann")</f>
        <v>The Ammann</v>
      </c>
      <c r="C2101" s="1" t="s">
        <v>1586</v>
      </c>
      <c r="D2101" s="1" t="s">
        <v>41</v>
      </c>
      <c r="E2101" s="3">
        <v>1270000</v>
      </c>
      <c r="F2101" s="1">
        <v>1217.6414189837001</v>
      </c>
      <c r="G2101" s="1">
        <v>4</v>
      </c>
      <c r="H2101" s="1">
        <v>2</v>
      </c>
      <c r="I2101" s="1">
        <v>2</v>
      </c>
      <c r="J2101" s="1">
        <v>2</v>
      </c>
      <c r="K2101" s="1">
        <v>2</v>
      </c>
      <c r="M2101" s="4">
        <v>1043</v>
      </c>
      <c r="N2101" s="1">
        <v>605</v>
      </c>
      <c r="O2101" s="1">
        <v>1180</v>
      </c>
      <c r="P2101" s="1">
        <v>575</v>
      </c>
      <c r="Q2101" s="1" t="s">
        <v>42</v>
      </c>
      <c r="S2101" s="1" t="s">
        <v>42</v>
      </c>
      <c r="T2101" s="1" t="s">
        <v>203</v>
      </c>
      <c r="U2101" s="1">
        <v>281</v>
      </c>
      <c r="V2101" s="5">
        <v>44399</v>
      </c>
      <c r="W2101" s="5">
        <v>44062</v>
      </c>
      <c r="X2101" s="1">
        <v>1388000</v>
      </c>
      <c r="Y2101" s="1">
        <v>1388000</v>
      </c>
      <c r="Z2101" s="5">
        <v>44344</v>
      </c>
      <c r="AA2101" s="1">
        <v>1270000</v>
      </c>
      <c r="AB2101" s="1" t="s">
        <v>1626</v>
      </c>
      <c r="AC2101" s="5">
        <v>44376</v>
      </c>
      <c r="AF2101" s="1">
        <v>10033</v>
      </c>
      <c r="AI2101" s="1" t="s">
        <v>199</v>
      </c>
      <c r="AJ2101" s="1">
        <v>2018</v>
      </c>
      <c r="AL2101" s="1">
        <v>24</v>
      </c>
    </row>
    <row r="2102" spans="1:38" x14ac:dyDescent="0.2">
      <c r="A2102" s="2" t="str">
        <f>HYPERLINK("https://www.compass.com/listing/775-riverside-drive-unit-2a-manhattan-ny-10032/29435470433828465/","775 Riverside Dr, Unit 2A")</f>
        <v>775 Riverside Dr, Unit 2A</v>
      </c>
      <c r="B2102" s="2" t="str">
        <f>HYPERLINK("https://www.compass.com/building/775-riverside-dr-manhattan-ny-10032/294837409665591813/","775 Riverside Dr")</f>
        <v>775 Riverside Dr</v>
      </c>
      <c r="C2102" s="1" t="s">
        <v>164</v>
      </c>
      <c r="D2102" s="1" t="s">
        <v>41</v>
      </c>
      <c r="E2102" s="3">
        <v>339690</v>
      </c>
      <c r="F2102" s="1">
        <v>584.664371772805</v>
      </c>
      <c r="G2102" s="1">
        <v>3</v>
      </c>
      <c r="H2102" s="1">
        <v>1</v>
      </c>
      <c r="I2102" s="1">
        <v>1</v>
      </c>
      <c r="J2102" s="1">
        <v>1</v>
      </c>
      <c r="M2102" s="1">
        <v>581</v>
      </c>
      <c r="N2102" s="1">
        <v>364</v>
      </c>
      <c r="O2102" s="1">
        <v>463</v>
      </c>
      <c r="P2102" s="1">
        <v>99</v>
      </c>
      <c r="Q2102" s="1" t="s">
        <v>42</v>
      </c>
      <c r="S2102" s="1" t="s">
        <v>42</v>
      </c>
      <c r="T2102" s="1" t="s">
        <v>203</v>
      </c>
      <c r="U2102" s="1">
        <v>31</v>
      </c>
      <c r="V2102" s="5">
        <v>43680</v>
      </c>
      <c r="W2102" s="5">
        <v>42081</v>
      </c>
      <c r="X2102" s="1">
        <v>335000</v>
      </c>
      <c r="Y2102" s="1">
        <v>335000</v>
      </c>
      <c r="Z2102" s="5">
        <v>42112</v>
      </c>
      <c r="AA2102" s="1">
        <v>339690</v>
      </c>
      <c r="AB2102" s="1" t="s">
        <v>1627</v>
      </c>
      <c r="AC2102" s="5">
        <v>42360</v>
      </c>
      <c r="AF2102" s="1">
        <v>10032</v>
      </c>
      <c r="AJ2102" s="1">
        <v>1931</v>
      </c>
    </row>
    <row r="2103" spans="1:38" x14ac:dyDescent="0.2">
      <c r="A2103" s="2" t="str">
        <f>HYPERLINK("https://www.compass.com/listing/301-west-53rd-street-unit-5c-manhattan-ny-10019/29388112253751553/","301 W 53rd St, Unit 5C")</f>
        <v>301 W 53rd St, Unit 5C</v>
      </c>
      <c r="B2103" s="2" t="str">
        <f t="shared" ref="B2103:B2104" si="354">HYPERLINK("https://www.compass.com/building/fifty-third-and-eighth-manhattan-ny/281944545158031557/","Fifty Third and Eighth")</f>
        <v>Fifty Third and Eighth</v>
      </c>
      <c r="C2103" s="1" t="s">
        <v>57</v>
      </c>
      <c r="D2103" s="1" t="s">
        <v>41</v>
      </c>
      <c r="E2103" s="3">
        <v>1464006</v>
      </c>
      <c r="F2103" s="1">
        <v>1700.35540069686</v>
      </c>
      <c r="G2103" s="1">
        <v>4</v>
      </c>
      <c r="H2103" s="1">
        <v>1</v>
      </c>
      <c r="I2103" s="1">
        <v>1</v>
      </c>
      <c r="J2103" s="1">
        <v>1</v>
      </c>
      <c r="M2103" s="1">
        <v>861</v>
      </c>
      <c r="N2103" s="1">
        <v>695</v>
      </c>
      <c r="O2103" s="1">
        <v>1695</v>
      </c>
      <c r="P2103" s="1">
        <v>1000</v>
      </c>
      <c r="Q2103" s="1" t="s">
        <v>42</v>
      </c>
      <c r="S2103" s="1" t="s">
        <v>42</v>
      </c>
      <c r="T2103" s="1" t="s">
        <v>203</v>
      </c>
      <c r="U2103" s="1">
        <v>157</v>
      </c>
      <c r="V2103" s="5">
        <v>43664</v>
      </c>
      <c r="W2103" s="5">
        <v>42419</v>
      </c>
      <c r="X2103" s="1">
        <v>1455000</v>
      </c>
      <c r="Y2103" s="1">
        <v>1455000</v>
      </c>
      <c r="Z2103" s="5">
        <v>42576</v>
      </c>
      <c r="AA2103" s="1">
        <v>1464006</v>
      </c>
      <c r="AB2103" s="1" t="s">
        <v>1628</v>
      </c>
      <c r="AC2103" s="5">
        <v>42614</v>
      </c>
      <c r="AF2103" s="1">
        <v>10019</v>
      </c>
      <c r="AI2103" s="1" t="s">
        <v>76</v>
      </c>
      <c r="AJ2103" s="1">
        <v>2017</v>
      </c>
      <c r="AK2103" s="1" t="s">
        <v>81</v>
      </c>
      <c r="AL2103" s="1">
        <v>248</v>
      </c>
    </row>
    <row r="2104" spans="1:38" x14ac:dyDescent="0.2">
      <c r="A2104" s="2" t="str">
        <f>HYPERLINK("https://www.compass.com/listing/301-west-53rd-street-unit-6c-manhattan-ny-10019/29388116607447489/","301 W 53rd St, Unit 6C")</f>
        <v>301 W 53rd St, Unit 6C</v>
      </c>
      <c r="B2104" s="2" t="str">
        <f t="shared" si="354"/>
        <v>Fifty Third and Eighth</v>
      </c>
      <c r="C2104" s="1" t="s">
        <v>57</v>
      </c>
      <c r="D2104" s="1" t="s">
        <v>41</v>
      </c>
      <c r="E2104" s="3">
        <v>1460714</v>
      </c>
      <c r="F2104" s="1">
        <v>1696.53193960511</v>
      </c>
      <c r="G2104" s="1">
        <v>3</v>
      </c>
      <c r="H2104" s="1">
        <v>1</v>
      </c>
      <c r="I2104" s="1">
        <v>1</v>
      </c>
      <c r="J2104" s="1">
        <v>1</v>
      </c>
      <c r="M2104" s="1">
        <v>861</v>
      </c>
      <c r="N2104" s="1">
        <v>701</v>
      </c>
      <c r="O2104" s="1">
        <v>1970</v>
      </c>
      <c r="P2104" s="1">
        <v>1269</v>
      </c>
      <c r="Q2104" s="1" t="s">
        <v>42</v>
      </c>
      <c r="S2104" s="1" t="s">
        <v>42</v>
      </c>
      <c r="T2104" s="1" t="s">
        <v>203</v>
      </c>
      <c r="U2104" s="1">
        <v>113</v>
      </c>
      <c r="V2104" s="5">
        <v>43672</v>
      </c>
      <c r="W2104" s="5">
        <v>42626</v>
      </c>
      <c r="X2104" s="1">
        <v>1465000</v>
      </c>
      <c r="Y2104" s="1">
        <v>1465000</v>
      </c>
      <c r="Z2104" s="5">
        <v>42739</v>
      </c>
      <c r="AA2104" s="1">
        <v>1460714</v>
      </c>
      <c r="AB2104" s="1" t="s">
        <v>1629</v>
      </c>
      <c r="AC2104" s="5">
        <v>42742</v>
      </c>
      <c r="AF2104" s="1">
        <v>10019</v>
      </c>
      <c r="AI2104" s="1" t="s">
        <v>76</v>
      </c>
      <c r="AJ2104" s="1">
        <v>2017</v>
      </c>
      <c r="AK2104" s="1" t="s">
        <v>81</v>
      </c>
      <c r="AL2104" s="1">
        <v>248</v>
      </c>
    </row>
    <row r="2105" spans="1:38" x14ac:dyDescent="0.2">
      <c r="A2105" s="2" t="str">
        <f>HYPERLINK("https://www.compass.com/listing/775-riverside-drive-unit-1i-manhattan-ny-10032/451508515979269585/","775 Riverside Dr, Unit 1I")</f>
        <v>775 Riverside Dr, Unit 1I</v>
      </c>
      <c r="B2105" s="2" t="str">
        <f>HYPERLINK("https://www.compass.com/building/775-riverside-dr-manhattan-ny-10032/294837409665591813/","775 Riverside Dr")</f>
        <v>775 Riverside Dr</v>
      </c>
      <c r="C2105" s="1" t="s">
        <v>164</v>
      </c>
      <c r="D2105" s="1" t="s">
        <v>41</v>
      </c>
      <c r="E2105" s="3">
        <v>490000</v>
      </c>
      <c r="F2105" s="1">
        <v>533.18824809575597</v>
      </c>
      <c r="G2105" s="1">
        <v>4</v>
      </c>
      <c r="H2105" s="1">
        <v>1</v>
      </c>
      <c r="I2105" s="1">
        <v>1</v>
      </c>
      <c r="J2105" s="1">
        <v>1</v>
      </c>
      <c r="K2105" s="1">
        <v>1</v>
      </c>
      <c r="M2105" s="1">
        <v>919</v>
      </c>
      <c r="N2105" s="1">
        <v>549</v>
      </c>
      <c r="O2105" s="1">
        <v>929</v>
      </c>
      <c r="P2105" s="1">
        <v>380</v>
      </c>
      <c r="Q2105" s="1" t="s">
        <v>143</v>
      </c>
      <c r="S2105" s="1" t="s">
        <v>42</v>
      </c>
      <c r="T2105" s="1" t="s">
        <v>203</v>
      </c>
      <c r="U2105" s="1">
        <v>301</v>
      </c>
      <c r="V2105" s="5">
        <v>44398</v>
      </c>
      <c r="W2105" s="5">
        <v>43875</v>
      </c>
      <c r="X2105" s="1">
        <v>599000</v>
      </c>
      <c r="Y2105" s="1">
        <v>599000</v>
      </c>
      <c r="Z2105" s="5">
        <v>44271</v>
      </c>
      <c r="AA2105" s="1">
        <v>490000</v>
      </c>
      <c r="AB2105" s="1" t="s">
        <v>1630</v>
      </c>
      <c r="AC2105" s="5">
        <v>44384</v>
      </c>
      <c r="AF2105" s="1">
        <v>10032</v>
      </c>
      <c r="AJ2105" s="1">
        <v>1931</v>
      </c>
    </row>
    <row r="2106" spans="1:38" x14ac:dyDescent="0.2">
      <c r="A2106" s="2" t="str">
        <f>HYPERLINK("https://www.compass.com/listing/301-west-53rd-street-unit-23d-manhattan-ny-10019/29388183858855009/","301 W 53rd St, Unit 23D")</f>
        <v>301 W 53rd St, Unit 23D</v>
      </c>
      <c r="B2106" s="2" t="str">
        <f t="shared" ref="B2106:B2108" si="355">HYPERLINK("https://www.compass.com/building/fifty-third-and-eighth-manhattan-ny/281944545158031557/","Fifty Third and Eighth")</f>
        <v>Fifty Third and Eighth</v>
      </c>
      <c r="C2106" s="1" t="s">
        <v>57</v>
      </c>
      <c r="D2106" s="1" t="s">
        <v>41</v>
      </c>
      <c r="E2106" s="3">
        <v>1550673</v>
      </c>
      <c r="F2106" s="1">
        <v>1965.3654879594401</v>
      </c>
      <c r="G2106" s="1">
        <v>4</v>
      </c>
      <c r="H2106" s="1">
        <v>2</v>
      </c>
      <c r="I2106" s="1">
        <v>1</v>
      </c>
      <c r="J2106" s="1">
        <v>1</v>
      </c>
      <c r="M2106" s="1">
        <v>789</v>
      </c>
      <c r="N2106" s="1">
        <v>689</v>
      </c>
      <c r="O2106" s="1">
        <v>1680</v>
      </c>
      <c r="P2106" s="1">
        <v>991</v>
      </c>
      <c r="Q2106" s="1" t="s">
        <v>42</v>
      </c>
      <c r="S2106" s="1" t="s">
        <v>42</v>
      </c>
      <c r="T2106" s="1" t="s">
        <v>203</v>
      </c>
      <c r="U2106" s="1">
        <v>229</v>
      </c>
      <c r="V2106" s="5">
        <v>42314</v>
      </c>
      <c r="W2106" s="5">
        <v>42013</v>
      </c>
      <c r="X2106" s="1">
        <v>1545000</v>
      </c>
      <c r="Y2106" s="1">
        <v>1545000</v>
      </c>
      <c r="AA2106" s="1">
        <v>1550673.37</v>
      </c>
      <c r="AB2106" s="1" t="s">
        <v>1631</v>
      </c>
      <c r="AC2106" s="5">
        <v>42304</v>
      </c>
      <c r="AF2106" s="1">
        <v>10019</v>
      </c>
      <c r="AI2106" s="1" t="s">
        <v>76</v>
      </c>
      <c r="AJ2106" s="1">
        <v>2017</v>
      </c>
      <c r="AK2106" s="1" t="s">
        <v>81</v>
      </c>
      <c r="AL2106" s="1">
        <v>248</v>
      </c>
    </row>
    <row r="2107" spans="1:38" x14ac:dyDescent="0.2">
      <c r="A2107" s="2" t="str">
        <f>HYPERLINK("https://www.compass.com/listing/301-west-53rd-street-unit-8c-manhattan-ny-10019/783615297238772401/","301 W 53rd St, Unit 8C")</f>
        <v>301 W 53rd St, Unit 8C</v>
      </c>
      <c r="B2107" s="2" t="str">
        <f t="shared" si="355"/>
        <v>Fifty Third and Eighth</v>
      </c>
      <c r="C2107" s="1" t="s">
        <v>57</v>
      </c>
      <c r="D2107" s="1" t="s">
        <v>41</v>
      </c>
      <c r="E2107" s="3">
        <v>1490770</v>
      </c>
      <c r="F2107" s="1">
        <v>1731.44074332171</v>
      </c>
      <c r="G2107" s="1">
        <v>4</v>
      </c>
      <c r="H2107" s="1">
        <v>2</v>
      </c>
      <c r="I2107" s="1">
        <v>1</v>
      </c>
      <c r="J2107" s="1">
        <v>1</v>
      </c>
      <c r="K2107" s="1">
        <v>1</v>
      </c>
      <c r="M2107" s="1">
        <v>861</v>
      </c>
      <c r="N2107" s="1">
        <v>701</v>
      </c>
      <c r="O2107" s="1">
        <v>1709</v>
      </c>
      <c r="P2107" s="1">
        <v>1008</v>
      </c>
      <c r="Q2107" s="1" t="s">
        <v>42</v>
      </c>
      <c r="S2107" s="1" t="s">
        <v>42</v>
      </c>
      <c r="T2107" s="1" t="s">
        <v>203</v>
      </c>
      <c r="U2107" s="1">
        <v>227</v>
      </c>
      <c r="V2107" s="5">
        <v>44365</v>
      </c>
      <c r="W2107" s="5">
        <v>42013</v>
      </c>
      <c r="X2107" s="1">
        <v>1485000</v>
      </c>
      <c r="Y2107" s="1">
        <v>1485000</v>
      </c>
      <c r="AA2107" s="1">
        <v>1490770.48</v>
      </c>
      <c r="AB2107" s="1" t="s">
        <v>1632</v>
      </c>
      <c r="AC2107" s="5">
        <v>42347</v>
      </c>
      <c r="AF2107" s="1">
        <v>10019</v>
      </c>
      <c r="AI2107" s="1" t="s">
        <v>76</v>
      </c>
      <c r="AJ2107" s="1">
        <v>2017</v>
      </c>
      <c r="AK2107" s="1" t="s">
        <v>81</v>
      </c>
      <c r="AL2107" s="1">
        <v>248</v>
      </c>
    </row>
    <row r="2108" spans="1:38" x14ac:dyDescent="0.2">
      <c r="A2108" s="2" t="str">
        <f>HYPERLINK("https://www.compass.com/listing/301-west-53rd-street-unit-22d-manhattan-ny-10019/29388179723335185/","301 W 53rd St, Unit 22D")</f>
        <v>301 W 53rd St, Unit 22D</v>
      </c>
      <c r="B2108" s="2" t="str">
        <f t="shared" si="355"/>
        <v>Fifty Third and Eighth</v>
      </c>
      <c r="C2108" s="1" t="s">
        <v>57</v>
      </c>
      <c r="D2108" s="1" t="s">
        <v>41</v>
      </c>
      <c r="E2108" s="3">
        <v>1400000</v>
      </c>
      <c r="F2108" s="1">
        <v>1774.3979721165999</v>
      </c>
      <c r="G2108" s="1">
        <v>3</v>
      </c>
      <c r="H2108" s="1">
        <v>1</v>
      </c>
      <c r="I2108" s="1">
        <v>1</v>
      </c>
      <c r="J2108" s="1">
        <v>1</v>
      </c>
      <c r="K2108" s="1">
        <v>1</v>
      </c>
      <c r="M2108" s="1">
        <v>789</v>
      </c>
      <c r="N2108" s="1">
        <v>791</v>
      </c>
      <c r="O2108" s="1">
        <v>1906</v>
      </c>
      <c r="P2108" s="1">
        <v>1115</v>
      </c>
      <c r="Q2108" s="1" t="s">
        <v>42</v>
      </c>
      <c r="S2108" s="1" t="s">
        <v>42</v>
      </c>
      <c r="T2108" s="1" t="s">
        <v>203</v>
      </c>
      <c r="U2108" s="1">
        <v>205</v>
      </c>
      <c r="V2108" s="5">
        <v>44357</v>
      </c>
      <c r="W2108" s="5">
        <v>44124</v>
      </c>
      <c r="Y2108" s="1">
        <v>1479000</v>
      </c>
      <c r="AA2108" s="1">
        <v>1400000</v>
      </c>
      <c r="AB2108" s="1" t="s">
        <v>1633</v>
      </c>
      <c r="AC2108" s="5">
        <v>44330</v>
      </c>
      <c r="AF2108" s="1">
        <v>10019</v>
      </c>
      <c r="AI2108" s="1" t="s">
        <v>726</v>
      </c>
      <c r="AJ2108" s="1">
        <v>2017</v>
      </c>
      <c r="AK2108" s="1" t="s">
        <v>81</v>
      </c>
      <c r="AL2108" s="1">
        <v>248</v>
      </c>
    </row>
    <row r="2109" spans="1:38" x14ac:dyDescent="0.2">
      <c r="A2109" s="2" t="str">
        <f>HYPERLINK("https://www.compass.com/listing/775-riverside-drive-unit-6b-manhattan-ny-10032/29435477035664321/","775 Riverside Dr, Unit 6B")</f>
        <v>775 Riverside Dr, Unit 6B</v>
      </c>
      <c r="B2109" s="2" t="str">
        <f t="shared" ref="B2109:B2112" si="356">HYPERLINK("https://www.compass.com/building/775-riverside-dr-manhattan-ny-10032/294837409665591813/","775 Riverside Dr")</f>
        <v>775 Riverside Dr</v>
      </c>
      <c r="C2109" s="1" t="s">
        <v>164</v>
      </c>
      <c r="D2109" s="1" t="s">
        <v>41</v>
      </c>
      <c r="E2109" s="3">
        <v>612987</v>
      </c>
      <c r="F2109" s="1">
        <v>700.55657142857103</v>
      </c>
      <c r="G2109" s="1">
        <v>3.5</v>
      </c>
      <c r="H2109" s="1">
        <v>1</v>
      </c>
      <c r="I2109" s="1">
        <v>1</v>
      </c>
      <c r="J2109" s="1">
        <v>1</v>
      </c>
      <c r="M2109" s="1">
        <v>875</v>
      </c>
      <c r="N2109" s="1">
        <v>653</v>
      </c>
      <c r="O2109" s="1">
        <v>831</v>
      </c>
      <c r="P2109" s="1">
        <v>178</v>
      </c>
      <c r="Q2109" s="1" t="s">
        <v>42</v>
      </c>
      <c r="S2109" s="1" t="s">
        <v>42</v>
      </c>
      <c r="T2109" s="1" t="s">
        <v>203</v>
      </c>
      <c r="U2109" s="1">
        <v>115</v>
      </c>
      <c r="V2109" s="5">
        <v>43682</v>
      </c>
      <c r="W2109" s="5">
        <v>42092</v>
      </c>
      <c r="X2109" s="1">
        <v>590000</v>
      </c>
      <c r="Y2109" s="1">
        <v>602000</v>
      </c>
      <c r="Z2109" s="5">
        <v>42207</v>
      </c>
      <c r="AA2109" s="1">
        <v>612987</v>
      </c>
      <c r="AB2109" s="1" t="s">
        <v>1634</v>
      </c>
      <c r="AC2109" s="5">
        <v>42348</v>
      </c>
      <c r="AF2109" s="1">
        <v>10032</v>
      </c>
      <c r="AJ2109" s="1">
        <v>1931</v>
      </c>
    </row>
    <row r="2110" spans="1:38" x14ac:dyDescent="0.2">
      <c r="A2110" s="2" t="str">
        <f>HYPERLINK("https://www.compass.com/listing/775-riverside-drive-unit-4a-manhattan-ny-10032/283331336209455425/","775 Riverside Dr, Unit 4A")</f>
        <v>775 Riverside Dr, Unit 4A</v>
      </c>
      <c r="B2110" s="2" t="str">
        <f t="shared" si="356"/>
        <v>775 Riverside Dr</v>
      </c>
      <c r="C2110" s="1" t="s">
        <v>164</v>
      </c>
      <c r="D2110" s="1" t="s">
        <v>41</v>
      </c>
      <c r="E2110" s="3">
        <v>435000</v>
      </c>
      <c r="F2110" s="1">
        <v>748.70912220309799</v>
      </c>
      <c r="G2110" s="1">
        <v>3</v>
      </c>
      <c r="H2110" s="1">
        <v>1</v>
      </c>
      <c r="I2110" s="1">
        <v>1</v>
      </c>
      <c r="J2110" s="1">
        <v>1</v>
      </c>
      <c r="K2110" s="1">
        <v>1</v>
      </c>
      <c r="M2110" s="1">
        <v>581</v>
      </c>
      <c r="N2110" s="1">
        <v>395</v>
      </c>
      <c r="O2110" s="1">
        <v>604</v>
      </c>
      <c r="P2110" s="1">
        <v>209</v>
      </c>
      <c r="Q2110" s="1" t="s">
        <v>143</v>
      </c>
      <c r="S2110" s="1" t="s">
        <v>42</v>
      </c>
      <c r="T2110" s="1" t="s">
        <v>203</v>
      </c>
      <c r="U2110" s="1">
        <v>82</v>
      </c>
      <c r="V2110" s="5">
        <v>43848</v>
      </c>
      <c r="W2110" s="5">
        <v>43643</v>
      </c>
      <c r="X2110" s="1">
        <v>450000</v>
      </c>
      <c r="Y2110" s="1">
        <v>450000</v>
      </c>
      <c r="Z2110" s="5">
        <v>43726</v>
      </c>
      <c r="AA2110" s="1">
        <v>435000</v>
      </c>
      <c r="AB2110" s="1" t="s">
        <v>1635</v>
      </c>
      <c r="AC2110" s="5">
        <v>43833</v>
      </c>
      <c r="AF2110" s="1">
        <v>10032</v>
      </c>
      <c r="AJ2110" s="1">
        <v>1931</v>
      </c>
    </row>
    <row r="2111" spans="1:38" x14ac:dyDescent="0.2">
      <c r="A2111" s="2" t="str">
        <f>HYPERLINK("https://www.compass.com/listing/775-riverside-drive-unit-6a-manhattan-ny-10032/29435476641398481/","775 Riverside Dr, Unit 6A")</f>
        <v>775 Riverside Dr, Unit 6A</v>
      </c>
      <c r="B2111" s="2" t="str">
        <f t="shared" si="356"/>
        <v>775 Riverside Dr</v>
      </c>
      <c r="C2111" s="1" t="s">
        <v>164</v>
      </c>
      <c r="D2111" s="1" t="s">
        <v>41</v>
      </c>
      <c r="E2111" s="3">
        <v>420000</v>
      </c>
      <c r="F2111" s="1">
        <v>722.89156626505996</v>
      </c>
      <c r="G2111" s="1">
        <v>3</v>
      </c>
      <c r="H2111" s="1">
        <v>1</v>
      </c>
      <c r="I2111" s="1">
        <v>1</v>
      </c>
      <c r="J2111" s="1">
        <v>1</v>
      </c>
      <c r="M2111" s="1">
        <v>581</v>
      </c>
      <c r="N2111" s="1">
        <v>426</v>
      </c>
      <c r="O2111" s="1">
        <v>578</v>
      </c>
      <c r="P2111" s="1">
        <v>152</v>
      </c>
      <c r="Q2111" s="1" t="s">
        <v>42</v>
      </c>
      <c r="S2111" s="1" t="s">
        <v>42</v>
      </c>
      <c r="T2111" s="1" t="s">
        <v>203</v>
      </c>
      <c r="U2111" s="1">
        <v>42</v>
      </c>
      <c r="V2111" s="5">
        <v>43115</v>
      </c>
      <c r="W2111" s="5">
        <v>42871</v>
      </c>
      <c r="X2111" s="1">
        <v>432300</v>
      </c>
      <c r="Y2111" s="1">
        <v>432300</v>
      </c>
      <c r="AA2111" s="1">
        <v>420000</v>
      </c>
      <c r="AB2111" s="1" t="s">
        <v>1636</v>
      </c>
      <c r="AC2111" s="5">
        <v>42913</v>
      </c>
      <c r="AF2111" s="1">
        <v>10032</v>
      </c>
      <c r="AJ2111" s="1">
        <v>1931</v>
      </c>
    </row>
    <row r="2112" spans="1:38" x14ac:dyDescent="0.2">
      <c r="A2112" s="2" t="str">
        <f>HYPERLINK("https://www.compass.com/listing/775-riverside-drive-unit-3d-manhattan-ny-10032/29435472178598721/","775 Riverside Dr, Unit 3D")</f>
        <v>775 Riverside Dr, Unit 3D</v>
      </c>
      <c r="B2112" s="2" t="str">
        <f t="shared" si="356"/>
        <v>775 Riverside Dr</v>
      </c>
      <c r="C2112" s="1" t="s">
        <v>164</v>
      </c>
      <c r="D2112" s="1" t="s">
        <v>41</v>
      </c>
      <c r="E2112" s="3">
        <v>753505</v>
      </c>
      <c r="F2112" s="1">
        <v>597.545598731165</v>
      </c>
      <c r="G2112" s="1">
        <v>5</v>
      </c>
      <c r="H2112" s="1">
        <v>2</v>
      </c>
      <c r="I2112" s="1">
        <v>2</v>
      </c>
      <c r="J2112" s="1">
        <v>2</v>
      </c>
      <c r="M2112" s="4">
        <v>1261</v>
      </c>
      <c r="N2112" s="1">
        <v>822</v>
      </c>
      <c r="O2112" s="1">
        <v>1046</v>
      </c>
      <c r="P2112" s="1">
        <v>224</v>
      </c>
      <c r="Q2112" s="1" t="s">
        <v>42</v>
      </c>
      <c r="S2112" s="1" t="s">
        <v>42</v>
      </c>
      <c r="T2112" s="1" t="s">
        <v>203</v>
      </c>
      <c r="U2112" s="1">
        <v>29</v>
      </c>
      <c r="V2112" s="5">
        <v>43678</v>
      </c>
      <c r="W2112" s="5">
        <v>42081</v>
      </c>
      <c r="X2112" s="1">
        <v>758000</v>
      </c>
      <c r="Y2112" s="1">
        <v>758000</v>
      </c>
      <c r="Z2112" s="5">
        <v>42110</v>
      </c>
      <c r="AA2112" s="1">
        <v>753505</v>
      </c>
      <c r="AB2112" s="1" t="s">
        <v>1637</v>
      </c>
      <c r="AC2112" s="5">
        <v>42445</v>
      </c>
      <c r="AF2112" s="1">
        <v>10032</v>
      </c>
      <c r="AJ2112" s="1">
        <v>1931</v>
      </c>
    </row>
    <row r="2113" spans="1:38" x14ac:dyDescent="0.2">
      <c r="A2113" s="2" t="str">
        <f>HYPERLINK("https://www.compass.com/listing/301-west-53rd-street-unit-10c-manhattan-ny-10019/29388133342712497/","301 W 53rd St, Unit 10C")</f>
        <v>301 W 53rd St, Unit 10C</v>
      </c>
      <c r="B2113" s="2" t="str">
        <f t="shared" ref="B2113:B2117" si="357">HYPERLINK("https://www.compass.com/building/fifty-third-and-eighth-manhattan-ny/281944545158031557/","Fifty Third and Eighth")</f>
        <v>Fifty Third and Eighth</v>
      </c>
      <c r="C2113" s="1" t="s">
        <v>57</v>
      </c>
      <c r="D2113" s="1" t="s">
        <v>41</v>
      </c>
      <c r="E2113" s="3">
        <v>1505826</v>
      </c>
      <c r="F2113" s="1">
        <v>1748.92682926829</v>
      </c>
      <c r="G2113" s="1">
        <v>4</v>
      </c>
      <c r="H2113" s="1">
        <v>1</v>
      </c>
      <c r="I2113" s="1">
        <v>1</v>
      </c>
      <c r="J2113" s="1">
        <v>1</v>
      </c>
      <c r="M2113" s="1">
        <v>861</v>
      </c>
      <c r="N2113" s="1">
        <v>712</v>
      </c>
      <c r="O2113" s="1">
        <v>1736</v>
      </c>
      <c r="P2113" s="1">
        <v>1024</v>
      </c>
      <c r="Q2113" s="1" t="s">
        <v>42</v>
      </c>
      <c r="S2113" s="1" t="s">
        <v>42</v>
      </c>
      <c r="T2113" s="1" t="s">
        <v>203</v>
      </c>
      <c r="V2113" s="5">
        <v>43678</v>
      </c>
      <c r="W2113" s="5">
        <v>42452</v>
      </c>
      <c r="X2113" s="1">
        <v>1505000</v>
      </c>
      <c r="Y2113" s="1">
        <v>1505000</v>
      </c>
      <c r="Z2113" s="5">
        <v>42452</v>
      </c>
      <c r="AA2113" s="1">
        <v>1505826</v>
      </c>
      <c r="AB2113" s="1" t="s">
        <v>1638</v>
      </c>
      <c r="AC2113" s="5">
        <v>42510</v>
      </c>
      <c r="AF2113" s="1">
        <v>10019</v>
      </c>
      <c r="AI2113" s="1" t="s">
        <v>76</v>
      </c>
      <c r="AJ2113" s="1">
        <v>2017</v>
      </c>
      <c r="AK2113" s="1" t="s">
        <v>50</v>
      </c>
      <c r="AL2113" s="1">
        <v>248</v>
      </c>
    </row>
    <row r="2114" spans="1:38" x14ac:dyDescent="0.2">
      <c r="A2114" s="2" t="str">
        <f>HYPERLINK("https://www.compass.com/listing/301-west-53rd-street-unit-11c-manhattan-ny-10019/29388137805452065/","301 W 53rd St, Unit 11C")</f>
        <v>301 W 53rd St, Unit 11C</v>
      </c>
      <c r="B2114" s="2" t="str">
        <f t="shared" si="357"/>
        <v>Fifty Third and Eighth</v>
      </c>
      <c r="C2114" s="1" t="s">
        <v>57</v>
      </c>
      <c r="D2114" s="1" t="s">
        <v>41</v>
      </c>
      <c r="E2114" s="3">
        <v>1534679</v>
      </c>
      <c r="F2114" s="1">
        <v>1782.43786295005</v>
      </c>
      <c r="G2114" s="1">
        <v>4</v>
      </c>
      <c r="H2114" s="1">
        <v>1</v>
      </c>
      <c r="I2114" s="1">
        <v>1</v>
      </c>
      <c r="J2114" s="1">
        <v>1</v>
      </c>
      <c r="M2114" s="1">
        <v>861</v>
      </c>
      <c r="N2114" s="1">
        <v>716</v>
      </c>
      <c r="O2114" s="1">
        <v>1745</v>
      </c>
      <c r="P2114" s="1">
        <v>1029</v>
      </c>
      <c r="Q2114" s="1" t="s">
        <v>42</v>
      </c>
      <c r="S2114" s="1" t="s">
        <v>42</v>
      </c>
      <c r="T2114" s="1" t="s">
        <v>203</v>
      </c>
      <c r="U2114" s="1">
        <v>446</v>
      </c>
      <c r="V2114" s="5">
        <v>43678</v>
      </c>
      <c r="W2114" s="5">
        <v>42014</v>
      </c>
      <c r="X2114" s="1">
        <v>1515000</v>
      </c>
      <c r="Y2114" s="1">
        <v>1515000</v>
      </c>
      <c r="AA2114" s="1">
        <v>1534679</v>
      </c>
      <c r="AB2114" s="1" t="s">
        <v>1639</v>
      </c>
      <c r="AC2114" s="5">
        <v>42461</v>
      </c>
      <c r="AF2114" s="1">
        <v>10019</v>
      </c>
      <c r="AI2114" s="1" t="s">
        <v>76</v>
      </c>
      <c r="AJ2114" s="1">
        <v>2017</v>
      </c>
      <c r="AK2114" s="1" t="s">
        <v>50</v>
      </c>
      <c r="AL2114" s="1">
        <v>248</v>
      </c>
    </row>
    <row r="2115" spans="1:38" x14ac:dyDescent="0.2">
      <c r="A2115" s="2" t="str">
        <f>HYPERLINK("https://www.compass.com/listing/301-west-53rd-street-unit-25c-manhattan-ny-10019/29388190217475825/","301 W 53rd St, Unit 25C")</f>
        <v>301 W 53rd St, Unit 25C</v>
      </c>
      <c r="B2115" s="2" t="str">
        <f t="shared" si="357"/>
        <v>Fifty Third and Eighth</v>
      </c>
      <c r="C2115" s="1" t="s">
        <v>57</v>
      </c>
      <c r="D2115" s="1" t="s">
        <v>41</v>
      </c>
      <c r="E2115" s="3">
        <v>1711815</v>
      </c>
      <c r="F2115" s="1">
        <v>1988.1712543553999</v>
      </c>
      <c r="G2115" s="1">
        <v>4</v>
      </c>
      <c r="H2115" s="1">
        <v>1</v>
      </c>
      <c r="I2115" s="1">
        <v>1</v>
      </c>
      <c r="J2115" s="1">
        <v>1</v>
      </c>
      <c r="M2115" s="1">
        <v>861</v>
      </c>
      <c r="N2115" s="1">
        <v>785</v>
      </c>
      <c r="O2115" s="1">
        <v>1802</v>
      </c>
      <c r="P2115" s="1">
        <v>1017</v>
      </c>
      <c r="Q2115" s="1" t="s">
        <v>42</v>
      </c>
      <c r="S2115" s="1" t="s">
        <v>42</v>
      </c>
      <c r="T2115" s="1" t="s">
        <v>203</v>
      </c>
      <c r="U2115" s="1">
        <v>383</v>
      </c>
      <c r="V2115" s="5">
        <v>42978</v>
      </c>
      <c r="W2115" s="5">
        <v>42013</v>
      </c>
      <c r="X2115" s="1">
        <v>1675000</v>
      </c>
      <c r="Y2115" s="1">
        <v>1675000</v>
      </c>
      <c r="AA2115" s="1">
        <v>1711815.45</v>
      </c>
      <c r="AB2115" s="1" t="s">
        <v>1640</v>
      </c>
      <c r="AC2115" s="5">
        <v>42396</v>
      </c>
      <c r="AF2115" s="1">
        <v>10019</v>
      </c>
      <c r="AI2115" s="1" t="s">
        <v>76</v>
      </c>
      <c r="AJ2115" s="1">
        <v>2017</v>
      </c>
      <c r="AK2115" s="1" t="s">
        <v>50</v>
      </c>
      <c r="AL2115" s="1">
        <v>248</v>
      </c>
    </row>
    <row r="2116" spans="1:38" x14ac:dyDescent="0.2">
      <c r="A2116" s="2" t="str">
        <f>HYPERLINK("https://www.compass.com/listing/301-west-53rd-street-unit-10c-manhattan-ny-10019/192573160518873905/","301 W 53rd St, Unit 10C")</f>
        <v>301 W 53rd St, Unit 10C</v>
      </c>
      <c r="B2116" s="2" t="str">
        <f t="shared" si="357"/>
        <v>Fifty Third and Eighth</v>
      </c>
      <c r="C2116" s="1" t="s">
        <v>57</v>
      </c>
      <c r="D2116" s="1" t="s">
        <v>41</v>
      </c>
      <c r="E2116" s="3">
        <v>1505826</v>
      </c>
      <c r="F2116" s="1">
        <v>1748.9271428571401</v>
      </c>
      <c r="G2116" s="1">
        <v>4</v>
      </c>
      <c r="H2116" s="1">
        <v>1</v>
      </c>
      <c r="I2116" s="1">
        <v>1</v>
      </c>
      <c r="J2116" s="1">
        <v>1</v>
      </c>
      <c r="M2116" s="1">
        <v>861</v>
      </c>
      <c r="N2116" s="1">
        <v>712</v>
      </c>
      <c r="O2116" s="1">
        <v>1736</v>
      </c>
      <c r="P2116" s="1">
        <v>1024</v>
      </c>
      <c r="Q2116" s="1" t="s">
        <v>42</v>
      </c>
      <c r="S2116" s="1" t="s">
        <v>42</v>
      </c>
      <c r="T2116" s="1" t="s">
        <v>203</v>
      </c>
      <c r="U2116" s="1">
        <v>404</v>
      </c>
      <c r="V2116" s="5">
        <v>42451</v>
      </c>
      <c r="W2116" s="5">
        <v>42013</v>
      </c>
      <c r="X2116" s="1">
        <v>1505000</v>
      </c>
      <c r="Y2116" s="1">
        <v>1505000</v>
      </c>
      <c r="AA2116" s="1">
        <v>1505826.27</v>
      </c>
      <c r="AB2116" s="1" t="s">
        <v>1638</v>
      </c>
      <c r="AC2116" s="5">
        <v>42509</v>
      </c>
      <c r="AF2116" s="1">
        <v>10019</v>
      </c>
      <c r="AI2116" s="1" t="s">
        <v>76</v>
      </c>
      <c r="AJ2116" s="1">
        <v>2017</v>
      </c>
      <c r="AK2116" s="1" t="s">
        <v>50</v>
      </c>
      <c r="AL2116" s="1">
        <v>248</v>
      </c>
    </row>
    <row r="2117" spans="1:38" x14ac:dyDescent="0.2">
      <c r="A2117" s="2" t="str">
        <f>HYPERLINK("https://www.compass.com/listing/301-west-53rd-street-unit-24d-manhattan-ny-10019/29388186937538161/","301 W 53rd St, Unit 24D")</f>
        <v>301 W 53rd St, Unit 24D</v>
      </c>
      <c r="B2117" s="2" t="str">
        <f t="shared" si="357"/>
        <v>Fifty Third and Eighth</v>
      </c>
      <c r="C2117" s="1" t="s">
        <v>57</v>
      </c>
      <c r="D2117" s="1" t="s">
        <v>41</v>
      </c>
      <c r="E2117" s="3">
        <v>1589078</v>
      </c>
      <c r="F2117" s="1">
        <v>2014.04055766793</v>
      </c>
      <c r="G2117" s="1">
        <v>4</v>
      </c>
      <c r="H2117" s="1">
        <v>1</v>
      </c>
      <c r="I2117" s="1">
        <v>1</v>
      </c>
      <c r="J2117" s="1">
        <v>1</v>
      </c>
      <c r="M2117" s="1">
        <v>789</v>
      </c>
      <c r="N2117" s="1">
        <v>692</v>
      </c>
      <c r="O2117" s="1">
        <v>1687</v>
      </c>
      <c r="P2117" s="1">
        <v>995</v>
      </c>
      <c r="Q2117" s="1" t="s">
        <v>42</v>
      </c>
      <c r="S2117" s="1" t="s">
        <v>42</v>
      </c>
      <c r="T2117" s="1" t="s">
        <v>203</v>
      </c>
      <c r="U2117" s="1">
        <v>79</v>
      </c>
      <c r="V2117" s="5">
        <v>43654</v>
      </c>
      <c r="W2117" s="5">
        <v>42237</v>
      </c>
      <c r="X2117" s="1">
        <v>1555000</v>
      </c>
      <c r="Y2117" s="1">
        <v>1555000</v>
      </c>
      <c r="Z2117" s="5">
        <v>42316</v>
      </c>
      <c r="AA2117" s="1">
        <v>1589078</v>
      </c>
      <c r="AB2117" s="1" t="s">
        <v>1641</v>
      </c>
      <c r="AC2117" s="5">
        <v>42353</v>
      </c>
      <c r="AF2117" s="1">
        <v>10019</v>
      </c>
      <c r="AI2117" s="1" t="s">
        <v>76</v>
      </c>
      <c r="AJ2117" s="1">
        <v>2017</v>
      </c>
      <c r="AK2117" s="1" t="s">
        <v>50</v>
      </c>
      <c r="AL2117" s="1">
        <v>248</v>
      </c>
    </row>
    <row r="2118" spans="1:38" x14ac:dyDescent="0.2">
      <c r="A2118" s="2" t="str">
        <f>HYPERLINK("https://www.compass.com/listing/775-riverside-drive-unit-4b-manhattan-ny-10032/29435473655053985/","775 Riverside Dr, Unit 4B")</f>
        <v>775 Riverside Dr, Unit 4B</v>
      </c>
      <c r="B2118" s="2" t="str">
        <f>HYPERLINK("https://www.compass.com/building/775-riverside-dr-manhattan-ny-10032/294837409665591813/","775 Riverside Dr")</f>
        <v>775 Riverside Dr</v>
      </c>
      <c r="C2118" s="1" t="s">
        <v>164</v>
      </c>
      <c r="D2118" s="1" t="s">
        <v>41</v>
      </c>
      <c r="E2118" s="3">
        <v>446000</v>
      </c>
      <c r="F2118" s="1">
        <v>500.56116722783298</v>
      </c>
      <c r="G2118" s="1">
        <v>3</v>
      </c>
      <c r="H2118" s="1">
        <v>1</v>
      </c>
      <c r="I2118" s="1">
        <v>1</v>
      </c>
      <c r="J2118" s="1">
        <v>1</v>
      </c>
      <c r="M2118" s="1">
        <v>891</v>
      </c>
      <c r="N2118" s="1">
        <v>604</v>
      </c>
      <c r="O2118" s="1">
        <v>768</v>
      </c>
      <c r="P2118" s="1">
        <v>164</v>
      </c>
      <c r="Q2118" s="1" t="s">
        <v>661</v>
      </c>
      <c r="S2118" s="1" t="s">
        <v>345</v>
      </c>
      <c r="T2118" s="1" t="s">
        <v>203</v>
      </c>
      <c r="U2118" s="1">
        <v>126</v>
      </c>
      <c r="V2118" s="5">
        <v>43743</v>
      </c>
      <c r="W2118" s="5">
        <v>42284</v>
      </c>
      <c r="X2118" s="1">
        <v>550000</v>
      </c>
      <c r="Y2118" s="1">
        <v>550000</v>
      </c>
      <c r="Z2118" s="5">
        <v>42410</v>
      </c>
      <c r="AA2118" s="1">
        <v>446000</v>
      </c>
      <c r="AB2118" s="1" t="s">
        <v>1642</v>
      </c>
      <c r="AC2118" s="5">
        <v>42649</v>
      </c>
      <c r="AF2118" s="1">
        <v>10032</v>
      </c>
      <c r="AJ2118" s="1">
        <v>1931</v>
      </c>
    </row>
    <row r="2119" spans="1:38" x14ac:dyDescent="0.2">
      <c r="A2119" s="2" t="str">
        <f>HYPERLINK("https://www.compass.com/listing/301-west-53rd-street-unit-21d-manhattan-ny-10019/29388175923295681/","301 W 53rd St, Unit 21D")</f>
        <v>301 W 53rd St, Unit 21D</v>
      </c>
      <c r="B2119" s="2" t="str">
        <f>HYPERLINK("https://www.compass.com/building/fifty-third-and-eighth-manhattan-ny/281944545158031557/","Fifty Third and Eighth")</f>
        <v>Fifty Third and Eighth</v>
      </c>
      <c r="C2119" s="1" t="s">
        <v>57</v>
      </c>
      <c r="D2119" s="1" t="s">
        <v>41</v>
      </c>
      <c r="E2119" s="3">
        <v>1530622</v>
      </c>
      <c r="F2119" s="1">
        <v>1939.95183776932</v>
      </c>
      <c r="G2119" s="1">
        <v>4</v>
      </c>
      <c r="H2119" s="1">
        <v>2</v>
      </c>
      <c r="I2119" s="1">
        <v>1</v>
      </c>
      <c r="J2119" s="1">
        <v>1</v>
      </c>
      <c r="K2119" s="1">
        <v>1</v>
      </c>
      <c r="M2119" s="1">
        <v>789</v>
      </c>
      <c r="N2119" s="1">
        <v>683</v>
      </c>
      <c r="O2119" s="1">
        <v>1665</v>
      </c>
      <c r="P2119" s="1">
        <v>982</v>
      </c>
      <c r="Q2119" s="1" t="s">
        <v>42</v>
      </c>
      <c r="S2119" s="1" t="s">
        <v>42</v>
      </c>
      <c r="T2119" s="1" t="s">
        <v>203</v>
      </c>
      <c r="U2119" s="1">
        <v>30</v>
      </c>
      <c r="V2119" s="5">
        <v>44225</v>
      </c>
      <c r="W2119" s="5">
        <v>42318</v>
      </c>
      <c r="X2119" s="1">
        <v>1525000</v>
      </c>
      <c r="Y2119" s="1">
        <v>1525000</v>
      </c>
      <c r="Z2119" s="5">
        <v>42348</v>
      </c>
      <c r="AA2119" s="1">
        <v>1530622</v>
      </c>
      <c r="AB2119" s="1" t="s">
        <v>1643</v>
      </c>
      <c r="AC2119" s="5">
        <v>42396</v>
      </c>
      <c r="AF2119" s="1">
        <v>10019</v>
      </c>
      <c r="AI2119" s="1" t="s">
        <v>76</v>
      </c>
      <c r="AJ2119" s="1">
        <v>2017</v>
      </c>
      <c r="AK2119" s="1" t="s">
        <v>50</v>
      </c>
      <c r="AL2119" s="1">
        <v>248</v>
      </c>
    </row>
    <row r="2120" spans="1:38" x14ac:dyDescent="0.2">
      <c r="A2120" s="2" t="str">
        <f>HYPERLINK("https://www.compass.com/listing/400-west-61st-street-unit-23f-manhattan-ny-10069/843206375137406697/","400 W 61st St, Unit 23F")</f>
        <v>400 W 61st St, Unit 23F</v>
      </c>
      <c r="B2120" s="2" t="str">
        <f>HYPERLINK("https://www.compass.com/building/2-waterline-square-manhattan-ny/405244161814084533/","2 Waterline Square")</f>
        <v>2 Waterline Square</v>
      </c>
      <c r="C2120" s="1" t="s">
        <v>47</v>
      </c>
      <c r="D2120" s="1" t="s">
        <v>41</v>
      </c>
      <c r="E2120" s="3">
        <v>1823000</v>
      </c>
      <c r="F2120" s="1">
        <v>2055.2423900789099</v>
      </c>
      <c r="M2120" s="1">
        <v>887</v>
      </c>
      <c r="Q2120" s="1" t="s">
        <v>42</v>
      </c>
      <c r="S2120" s="1" t="s">
        <v>42</v>
      </c>
      <c r="T2120" s="1" t="s">
        <v>203</v>
      </c>
      <c r="AA2120" s="1">
        <v>1823000</v>
      </c>
      <c r="AB2120" s="1" t="s">
        <v>1644</v>
      </c>
      <c r="AC2120" s="5">
        <v>44385</v>
      </c>
      <c r="AF2120" s="1">
        <v>10069</v>
      </c>
      <c r="AJ2120" s="1">
        <v>2019</v>
      </c>
      <c r="AL2120" s="1">
        <v>329</v>
      </c>
    </row>
    <row r="2121" spans="1:38" x14ac:dyDescent="0.2">
      <c r="A2121" s="2" t="str">
        <f>HYPERLINK("https://www.compass.com/listing/301-west-53rd-street-unit-25d-manhattan-ny-10019/29388190578194113/","301 W 53rd St, Unit 25D")</f>
        <v>301 W 53rd St, Unit 25D</v>
      </c>
      <c r="B2121" s="2" t="str">
        <f t="shared" ref="B2121:B2127" si="358">HYPERLINK("https://www.compass.com/building/fifty-third-and-eighth-manhattan-ny/281944545158031557/","Fifty Third and Eighth")</f>
        <v>Fifty Third and Eighth</v>
      </c>
      <c r="C2121" s="1" t="s">
        <v>57</v>
      </c>
      <c r="D2121" s="1" t="s">
        <v>41</v>
      </c>
      <c r="E2121" s="3">
        <v>1581924</v>
      </c>
      <c r="F2121" s="1">
        <v>2004.97390367553</v>
      </c>
      <c r="G2121" s="1">
        <v>4</v>
      </c>
      <c r="H2121" s="1">
        <v>1</v>
      </c>
      <c r="I2121" s="1">
        <v>1</v>
      </c>
      <c r="J2121" s="1">
        <v>1</v>
      </c>
      <c r="M2121" s="1">
        <v>789</v>
      </c>
      <c r="N2121" s="1">
        <v>719</v>
      </c>
      <c r="O2121" s="1">
        <v>1651</v>
      </c>
      <c r="P2121" s="1">
        <v>932</v>
      </c>
      <c r="Q2121" s="1" t="s">
        <v>42</v>
      </c>
      <c r="S2121" s="1" t="s">
        <v>42</v>
      </c>
      <c r="T2121" s="1" t="s">
        <v>203</v>
      </c>
      <c r="U2121" s="1">
        <v>530</v>
      </c>
      <c r="V2121" s="5">
        <v>42628</v>
      </c>
      <c r="W2121" s="5">
        <v>42013</v>
      </c>
      <c r="X2121" s="1">
        <v>1570000</v>
      </c>
      <c r="Y2121" s="1">
        <v>1570000</v>
      </c>
      <c r="AA2121" s="1">
        <v>1581924.41</v>
      </c>
      <c r="AB2121" s="1" t="s">
        <v>1645</v>
      </c>
      <c r="AC2121" s="5">
        <v>42544</v>
      </c>
      <c r="AF2121" s="1">
        <v>10019</v>
      </c>
      <c r="AI2121" s="1" t="s">
        <v>76</v>
      </c>
      <c r="AJ2121" s="1">
        <v>2017</v>
      </c>
      <c r="AK2121" s="1" t="s">
        <v>50</v>
      </c>
      <c r="AL2121" s="1">
        <v>248</v>
      </c>
    </row>
    <row r="2122" spans="1:38" x14ac:dyDescent="0.2">
      <c r="A2122" s="2" t="str">
        <f>HYPERLINK("https://www.compass.com/listing/301-west-53rd-street-unit-8c-manhattan-ny-10019/29388125172216417/","301 W 53rd St, Unit 8C")</f>
        <v>301 W 53rd St, Unit 8C</v>
      </c>
      <c r="B2122" s="2" t="str">
        <f t="shared" si="358"/>
        <v>Fifty Third and Eighth</v>
      </c>
      <c r="C2122" s="1" t="s">
        <v>57</v>
      </c>
      <c r="D2122" s="1" t="s">
        <v>41</v>
      </c>
      <c r="E2122" s="3">
        <v>1490770</v>
      </c>
      <c r="F2122" s="1">
        <v>1731.44018583042</v>
      </c>
      <c r="G2122" s="1">
        <v>4</v>
      </c>
      <c r="H2122" s="1">
        <v>2</v>
      </c>
      <c r="I2122" s="1">
        <v>1</v>
      </c>
      <c r="J2122" s="1">
        <v>1</v>
      </c>
      <c r="K2122" s="1">
        <v>1</v>
      </c>
      <c r="M2122" s="1">
        <v>861</v>
      </c>
      <c r="N2122" s="1">
        <v>701</v>
      </c>
      <c r="O2122" s="1">
        <v>1709</v>
      </c>
      <c r="P2122" s="1">
        <v>1008</v>
      </c>
      <c r="Q2122" s="1" t="s">
        <v>42</v>
      </c>
      <c r="S2122" s="1" t="s">
        <v>42</v>
      </c>
      <c r="T2122" s="1" t="s">
        <v>203</v>
      </c>
      <c r="V2122" s="5">
        <v>44365</v>
      </c>
      <c r="W2122" s="5">
        <v>42307</v>
      </c>
      <c r="X2122" s="1">
        <v>1485000</v>
      </c>
      <c r="Y2122" s="1">
        <v>1485000</v>
      </c>
      <c r="Z2122" s="5">
        <v>42307</v>
      </c>
      <c r="AA2122" s="1">
        <v>1490770</v>
      </c>
      <c r="AB2122" s="1" t="s">
        <v>1632</v>
      </c>
      <c r="AC2122" s="5">
        <v>42348</v>
      </c>
      <c r="AF2122" s="1">
        <v>10019</v>
      </c>
      <c r="AI2122" s="1" t="s">
        <v>76</v>
      </c>
      <c r="AJ2122" s="1">
        <v>2017</v>
      </c>
      <c r="AK2122" s="1" t="s">
        <v>81</v>
      </c>
      <c r="AL2122" s="1">
        <v>248</v>
      </c>
    </row>
    <row r="2123" spans="1:38" x14ac:dyDescent="0.2">
      <c r="A2123" s="2" t="str">
        <f>HYPERLINK("https://www.compass.com/listing/301-west-53rd-street-unit-15b-manhattan-ny-10019/29388152821068849/","301 W 53rd St, Unit 15B")</f>
        <v>301 W 53rd St, Unit 15B</v>
      </c>
      <c r="B2123" s="2" t="str">
        <f t="shared" si="358"/>
        <v>Fifty Third and Eighth</v>
      </c>
      <c r="C2123" s="1" t="s">
        <v>57</v>
      </c>
      <c r="D2123" s="1" t="s">
        <v>41</v>
      </c>
      <c r="E2123" s="3">
        <v>1502343</v>
      </c>
      <c r="F2123" s="1">
        <v>1887.3655778894399</v>
      </c>
      <c r="G2123" s="1">
        <v>4</v>
      </c>
      <c r="H2123" s="1">
        <v>2</v>
      </c>
      <c r="I2123" s="1">
        <v>1</v>
      </c>
      <c r="J2123" s="1">
        <v>1</v>
      </c>
      <c r="M2123" s="1">
        <v>796</v>
      </c>
      <c r="N2123" s="1">
        <v>693</v>
      </c>
      <c r="O2123" s="1">
        <v>1591</v>
      </c>
      <c r="P2123" s="1">
        <v>898</v>
      </c>
      <c r="Q2123" s="1" t="s">
        <v>42</v>
      </c>
      <c r="S2123" s="1" t="s">
        <v>42</v>
      </c>
      <c r="T2123" s="1" t="s">
        <v>203</v>
      </c>
      <c r="V2123" s="5">
        <v>43654</v>
      </c>
      <c r="W2123" s="5">
        <v>42292</v>
      </c>
      <c r="X2123" s="1">
        <v>1470000</v>
      </c>
      <c r="Y2123" s="1">
        <v>1470000</v>
      </c>
      <c r="Z2123" s="5">
        <v>42292</v>
      </c>
      <c r="AA2123" s="1">
        <v>1502343</v>
      </c>
      <c r="AB2123" s="1" t="s">
        <v>1646</v>
      </c>
      <c r="AC2123" s="5">
        <v>42307</v>
      </c>
      <c r="AF2123" s="1">
        <v>10019</v>
      </c>
      <c r="AI2123" s="1" t="s">
        <v>76</v>
      </c>
      <c r="AJ2123" s="1">
        <v>2017</v>
      </c>
      <c r="AK2123" s="1" t="s">
        <v>50</v>
      </c>
      <c r="AL2123" s="1">
        <v>248</v>
      </c>
    </row>
    <row r="2124" spans="1:38" x14ac:dyDescent="0.2">
      <c r="A2124" s="2" t="str">
        <f>HYPERLINK("https://www.compass.com/listing/301-west-53rd-street-unit-17c-manhattan-ny-10019/29388162652517601/","301 W 53rd St, Unit 17C")</f>
        <v>301 W 53rd St, Unit 17C</v>
      </c>
      <c r="B2124" s="2" t="str">
        <f t="shared" si="358"/>
        <v>Fifty Third and Eighth</v>
      </c>
      <c r="C2124" s="1" t="s">
        <v>57</v>
      </c>
      <c r="D2124" s="1" t="s">
        <v>41</v>
      </c>
      <c r="E2124" s="3">
        <v>1619948</v>
      </c>
      <c r="F2124" s="1">
        <v>1881.47270615563</v>
      </c>
      <c r="G2124" s="1">
        <v>4</v>
      </c>
      <c r="H2124" s="1">
        <v>2</v>
      </c>
      <c r="I2124" s="1">
        <v>1</v>
      </c>
      <c r="J2124" s="1">
        <v>1</v>
      </c>
      <c r="M2124" s="1">
        <v>861</v>
      </c>
      <c r="N2124" s="1">
        <v>731</v>
      </c>
      <c r="O2124" s="1">
        <v>1783</v>
      </c>
      <c r="P2124" s="1">
        <v>1052</v>
      </c>
      <c r="Q2124" s="1" t="s">
        <v>42</v>
      </c>
      <c r="S2124" s="1" t="s">
        <v>42</v>
      </c>
      <c r="T2124" s="1" t="s">
        <v>203</v>
      </c>
      <c r="U2124" s="1">
        <v>1</v>
      </c>
      <c r="V2124" s="5">
        <v>43654</v>
      </c>
      <c r="W2124" s="5">
        <v>42286</v>
      </c>
      <c r="X2124" s="1">
        <v>1585000</v>
      </c>
      <c r="Y2124" s="1">
        <v>1585000</v>
      </c>
      <c r="Z2124" s="5">
        <v>42287</v>
      </c>
      <c r="AA2124" s="1">
        <v>1619948</v>
      </c>
      <c r="AB2124" s="1" t="s">
        <v>1647</v>
      </c>
      <c r="AC2124" s="5">
        <v>42304</v>
      </c>
      <c r="AF2124" s="1">
        <v>10019</v>
      </c>
      <c r="AI2124" s="1" t="s">
        <v>76</v>
      </c>
      <c r="AJ2124" s="1">
        <v>2017</v>
      </c>
      <c r="AK2124" s="1" t="s">
        <v>50</v>
      </c>
      <c r="AL2124" s="1">
        <v>248</v>
      </c>
    </row>
    <row r="2125" spans="1:38" x14ac:dyDescent="0.2">
      <c r="A2125" s="2" t="str">
        <f>HYPERLINK("https://www.compass.com/listing/301-west-53rd-street-unit-22c-manhattan-ny-10019/29388179320673857/","301 W 53rd St, Unit 22C")</f>
        <v>301 W 53rd St, Unit 22C</v>
      </c>
      <c r="B2125" s="2" t="str">
        <f t="shared" si="358"/>
        <v>Fifty Third and Eighth</v>
      </c>
      <c r="C2125" s="1" t="s">
        <v>57</v>
      </c>
      <c r="D2125" s="1" t="s">
        <v>41</v>
      </c>
      <c r="E2125" s="3">
        <v>1661128</v>
      </c>
      <c r="F2125" s="1">
        <v>1929.30081300813</v>
      </c>
      <c r="G2125" s="1">
        <v>4</v>
      </c>
      <c r="H2125" s="1">
        <v>2</v>
      </c>
      <c r="I2125" s="1">
        <v>1</v>
      </c>
      <c r="J2125" s="1">
        <v>1</v>
      </c>
      <c r="M2125" s="1">
        <v>861</v>
      </c>
      <c r="N2125" s="1">
        <v>774</v>
      </c>
      <c r="O2125" s="1">
        <v>1778</v>
      </c>
      <c r="P2125" s="1">
        <v>1004</v>
      </c>
      <c r="Q2125" s="1" t="s">
        <v>42</v>
      </c>
      <c r="S2125" s="1" t="s">
        <v>42</v>
      </c>
      <c r="T2125" s="1" t="s">
        <v>203</v>
      </c>
      <c r="V2125" s="5">
        <v>43654</v>
      </c>
      <c r="W2125" s="5">
        <v>42354</v>
      </c>
      <c r="X2125" s="1">
        <v>1640000</v>
      </c>
      <c r="Y2125" s="1">
        <v>1640000</v>
      </c>
      <c r="Z2125" s="5">
        <v>42354</v>
      </c>
      <c r="AA2125" s="1">
        <v>1661128</v>
      </c>
      <c r="AB2125" s="1" t="s">
        <v>1648</v>
      </c>
      <c r="AC2125" s="5">
        <v>42374</v>
      </c>
      <c r="AF2125" s="1">
        <v>10019</v>
      </c>
      <c r="AI2125" s="1" t="s">
        <v>76</v>
      </c>
      <c r="AJ2125" s="1">
        <v>2017</v>
      </c>
      <c r="AK2125" s="1" t="s">
        <v>50</v>
      </c>
      <c r="AL2125" s="1">
        <v>248</v>
      </c>
    </row>
    <row r="2126" spans="1:38" x14ac:dyDescent="0.2">
      <c r="A2126" s="2" t="str">
        <f>HYPERLINK("https://www.compass.com/listing/301-west-53rd-street-unit-23d-manhattan-ny-10019/29388183858855025/","301 W 53rd St, Unit 23D")</f>
        <v>301 W 53rd St, Unit 23D</v>
      </c>
      <c r="B2126" s="2" t="str">
        <f t="shared" si="358"/>
        <v>Fifty Third and Eighth</v>
      </c>
      <c r="C2126" s="1" t="s">
        <v>57</v>
      </c>
      <c r="D2126" s="1" t="s">
        <v>41</v>
      </c>
      <c r="E2126" s="3">
        <v>1550673</v>
      </c>
      <c r="F2126" s="1">
        <v>1965.3650190113999</v>
      </c>
      <c r="G2126" s="1">
        <v>4</v>
      </c>
      <c r="H2126" s="1">
        <v>2</v>
      </c>
      <c r="I2126" s="1">
        <v>1</v>
      </c>
      <c r="J2126" s="1">
        <v>1</v>
      </c>
      <c r="M2126" s="1">
        <v>789</v>
      </c>
      <c r="N2126" s="1">
        <v>689</v>
      </c>
      <c r="O2126" s="1">
        <v>1680</v>
      </c>
      <c r="P2126" s="1">
        <v>991</v>
      </c>
      <c r="Q2126" s="1" t="s">
        <v>42</v>
      </c>
      <c r="S2126" s="1" t="s">
        <v>42</v>
      </c>
      <c r="T2126" s="1" t="s">
        <v>203</v>
      </c>
      <c r="V2126" s="5">
        <v>43654</v>
      </c>
      <c r="W2126" s="5">
        <v>42290</v>
      </c>
      <c r="X2126" s="1">
        <v>1545000</v>
      </c>
      <c r="Y2126" s="1">
        <v>1545000</v>
      </c>
      <c r="Z2126" s="5">
        <v>42290</v>
      </c>
      <c r="AA2126" s="1">
        <v>1550673</v>
      </c>
      <c r="AB2126" s="1" t="s">
        <v>1631</v>
      </c>
      <c r="AC2126" s="5">
        <v>42305</v>
      </c>
      <c r="AF2126" s="1">
        <v>10019</v>
      </c>
      <c r="AI2126" s="1" t="s">
        <v>76</v>
      </c>
      <c r="AJ2126" s="1">
        <v>2017</v>
      </c>
      <c r="AK2126" s="1" t="s">
        <v>50</v>
      </c>
      <c r="AL2126" s="1">
        <v>248</v>
      </c>
    </row>
    <row r="2127" spans="1:38" x14ac:dyDescent="0.2">
      <c r="A2127" s="2" t="str">
        <f>HYPERLINK("https://www.compass.com/listing/301-west-53rd-street-unit-8c-manhattan-ny-10019/79403417683958993/","301 W 53rd St, Unit 8C")</f>
        <v>301 W 53rd St, Unit 8C</v>
      </c>
      <c r="B2127" s="2" t="str">
        <f t="shared" si="358"/>
        <v>Fifty Third and Eighth</v>
      </c>
      <c r="C2127" s="1" t="s">
        <v>57</v>
      </c>
      <c r="D2127" s="1" t="s">
        <v>41</v>
      </c>
      <c r="E2127" s="3">
        <v>1485000</v>
      </c>
      <c r="F2127" s="1">
        <v>1724.73867595818</v>
      </c>
      <c r="G2127" s="1">
        <v>4</v>
      </c>
      <c r="H2127" s="1">
        <v>2</v>
      </c>
      <c r="I2127" s="1">
        <v>1</v>
      </c>
      <c r="J2127" s="1">
        <v>1</v>
      </c>
      <c r="M2127" s="1">
        <v>861</v>
      </c>
      <c r="N2127" s="1">
        <v>701</v>
      </c>
      <c r="O2127" s="1">
        <v>1709</v>
      </c>
      <c r="P2127" s="1">
        <v>1008</v>
      </c>
      <c r="Q2127" s="1" t="s">
        <v>42</v>
      </c>
      <c r="S2127" s="1" t="s">
        <v>42</v>
      </c>
      <c r="T2127" s="1" t="s">
        <v>203</v>
      </c>
      <c r="V2127" s="5">
        <v>42874</v>
      </c>
      <c r="Y2127" s="1">
        <v>1485000</v>
      </c>
      <c r="Z2127" s="5">
        <v>42358</v>
      </c>
      <c r="AA2127" s="1">
        <v>1485000</v>
      </c>
      <c r="AB2127" s="1" t="s">
        <v>204</v>
      </c>
      <c r="AC2127" s="5">
        <v>42831</v>
      </c>
      <c r="AF2127" s="1">
        <v>10019</v>
      </c>
      <c r="AI2127" s="1" t="s">
        <v>76</v>
      </c>
      <c r="AJ2127" s="1">
        <v>2017</v>
      </c>
      <c r="AK2127" s="1" t="s">
        <v>81</v>
      </c>
      <c r="AL2127" s="1">
        <v>248</v>
      </c>
    </row>
    <row r="2128" spans="1:38" x14ac:dyDescent="0.2">
      <c r="A2128" s="2" t="str">
        <f>HYPERLINK("https://www.compass.com/listing/775-riverside-drive-unit-1f-manhattan-ny-10032/29435469192314465/","775 Riverside Dr, Unit 1F")</f>
        <v>775 Riverside Dr, Unit 1F</v>
      </c>
      <c r="B2128" s="2" t="str">
        <f t="shared" ref="B2128:B2129" si="359">HYPERLINK("https://www.compass.com/building/775-riverside-dr-manhattan-ny-10032/294837409665591813/","775 Riverside Dr")</f>
        <v>775 Riverside Dr</v>
      </c>
      <c r="C2128" s="1" t="s">
        <v>164</v>
      </c>
      <c r="D2128" s="1" t="s">
        <v>41</v>
      </c>
      <c r="E2128" s="3">
        <v>354900</v>
      </c>
      <c r="F2128" s="1">
        <v>546</v>
      </c>
      <c r="G2128" s="1">
        <v>3</v>
      </c>
      <c r="H2128" s="1">
        <v>1</v>
      </c>
      <c r="I2128" s="1">
        <v>1</v>
      </c>
      <c r="J2128" s="1">
        <v>1</v>
      </c>
      <c r="M2128" s="1">
        <v>650</v>
      </c>
      <c r="N2128" s="1">
        <v>380</v>
      </c>
      <c r="O2128" s="1">
        <v>483</v>
      </c>
      <c r="P2128" s="1">
        <v>103</v>
      </c>
      <c r="Q2128" s="1" t="s">
        <v>42</v>
      </c>
      <c r="S2128" s="1" t="s">
        <v>42</v>
      </c>
      <c r="T2128" s="1" t="s">
        <v>203</v>
      </c>
      <c r="U2128" s="1">
        <v>38</v>
      </c>
      <c r="V2128" s="5">
        <v>43663</v>
      </c>
      <c r="W2128" s="5">
        <v>42092</v>
      </c>
      <c r="X2128" s="1">
        <v>350000</v>
      </c>
      <c r="Y2128" s="1">
        <v>350000</v>
      </c>
      <c r="Z2128" s="5">
        <v>42130</v>
      </c>
      <c r="AA2128" s="1">
        <v>354900</v>
      </c>
      <c r="AB2128" s="1" t="s">
        <v>1649</v>
      </c>
      <c r="AC2128" s="5">
        <v>42409</v>
      </c>
      <c r="AF2128" s="1">
        <v>10032</v>
      </c>
      <c r="AJ2128" s="1">
        <v>1931</v>
      </c>
    </row>
    <row r="2129" spans="1:38" x14ac:dyDescent="0.2">
      <c r="A2129" s="2" t="str">
        <f>HYPERLINK("https://www.compass.com/listing/775-riverside-drive-unit-4a-manhattan-ny-10032/29435472866526097/","775 Riverside Dr, Unit 4A")</f>
        <v>775 Riverside Dr, Unit 4A</v>
      </c>
      <c r="B2129" s="2" t="str">
        <f t="shared" si="359"/>
        <v>775 Riverside Dr</v>
      </c>
      <c r="C2129" s="1" t="s">
        <v>164</v>
      </c>
      <c r="D2129" s="1" t="s">
        <v>41</v>
      </c>
      <c r="E2129" s="3">
        <v>369096</v>
      </c>
      <c r="F2129" s="1">
        <v>635.27710843373495</v>
      </c>
      <c r="G2129" s="1">
        <v>3</v>
      </c>
      <c r="H2129" s="1">
        <v>1</v>
      </c>
      <c r="I2129" s="1">
        <v>1</v>
      </c>
      <c r="J2129" s="1">
        <v>1</v>
      </c>
      <c r="M2129" s="1">
        <v>581</v>
      </c>
      <c r="N2129" s="1">
        <v>395</v>
      </c>
      <c r="O2129" s="1">
        <v>503</v>
      </c>
      <c r="P2129" s="1">
        <v>108</v>
      </c>
      <c r="Q2129" s="1" t="s">
        <v>42</v>
      </c>
      <c r="S2129" s="1" t="s">
        <v>42</v>
      </c>
      <c r="T2129" s="1" t="s">
        <v>203</v>
      </c>
      <c r="U2129" s="1">
        <v>38</v>
      </c>
      <c r="V2129" s="5">
        <v>43679</v>
      </c>
      <c r="W2129" s="5">
        <v>42092</v>
      </c>
      <c r="X2129" s="1">
        <v>364000</v>
      </c>
      <c r="Y2129" s="1">
        <v>364000</v>
      </c>
      <c r="Z2129" s="5">
        <v>42130</v>
      </c>
      <c r="AA2129" s="1">
        <v>369096</v>
      </c>
      <c r="AB2129" s="1" t="s">
        <v>1650</v>
      </c>
      <c r="AC2129" s="5">
        <v>42361</v>
      </c>
      <c r="AF2129" s="1">
        <v>10032</v>
      </c>
      <c r="AJ2129" s="1">
        <v>1931</v>
      </c>
    </row>
    <row r="2130" spans="1:38" x14ac:dyDescent="0.2">
      <c r="A2130" s="2" t="str">
        <f>HYPERLINK("https://www.compass.com/listing/301-west-53rd-street-unit-15d-manhattan-ny-10019/192573086036411585/","301 W 53rd St, Unit 15D")</f>
        <v>301 W 53rd St, Unit 15D</v>
      </c>
      <c r="B2130" s="2" t="str">
        <f t="shared" ref="B2130:B2133" si="360">HYPERLINK("https://www.compass.com/building/fifty-third-and-eighth-manhattan-ny/281944545158031557/","Fifty Third and Eighth")</f>
        <v>Fifty Third and Eighth</v>
      </c>
      <c r="C2130" s="1" t="s">
        <v>57</v>
      </c>
      <c r="D2130" s="1" t="s">
        <v>41</v>
      </c>
      <c r="E2130" s="3">
        <v>1465467</v>
      </c>
      <c r="F2130" s="1">
        <v>1857.37245880861</v>
      </c>
      <c r="G2130" s="1">
        <v>4</v>
      </c>
      <c r="H2130" s="1">
        <v>1</v>
      </c>
      <c r="I2130" s="1">
        <v>1</v>
      </c>
      <c r="J2130" s="1">
        <v>1</v>
      </c>
      <c r="M2130" s="1">
        <v>789</v>
      </c>
      <c r="N2130" s="1">
        <v>687</v>
      </c>
      <c r="O2130" s="1">
        <v>1577</v>
      </c>
      <c r="P2130" s="1">
        <v>890</v>
      </c>
      <c r="Q2130" s="1" t="s">
        <v>42</v>
      </c>
      <c r="S2130" s="1" t="s">
        <v>42</v>
      </c>
      <c r="T2130" s="1" t="s">
        <v>203</v>
      </c>
      <c r="U2130" s="1">
        <v>388</v>
      </c>
      <c r="V2130" s="5">
        <v>42406</v>
      </c>
      <c r="W2130" s="5">
        <v>42013</v>
      </c>
      <c r="X2130" s="1">
        <v>1460000</v>
      </c>
      <c r="Y2130" s="1">
        <v>1460000</v>
      </c>
      <c r="AA2130" s="1">
        <v>1465466.87</v>
      </c>
      <c r="AB2130" s="1" t="s">
        <v>1651</v>
      </c>
      <c r="AC2130" s="5">
        <v>42401</v>
      </c>
      <c r="AF2130" s="1">
        <v>10019</v>
      </c>
      <c r="AI2130" s="1" t="s">
        <v>76</v>
      </c>
      <c r="AJ2130" s="1">
        <v>2017</v>
      </c>
      <c r="AK2130" s="1" t="s">
        <v>50</v>
      </c>
      <c r="AL2130" s="1">
        <v>248</v>
      </c>
    </row>
    <row r="2131" spans="1:38" x14ac:dyDescent="0.2">
      <c r="A2131" s="2" t="str">
        <f>HYPERLINK("https://www.compass.com/listing/301-west-53rd-street-unit-7c-manhattan-ny-10019/29388120868796161/","301 W 53rd St, Unit 7C")</f>
        <v>301 W 53rd St, Unit 7C</v>
      </c>
      <c r="B2131" s="2" t="str">
        <f t="shared" si="360"/>
        <v>Fifty Third and Eighth</v>
      </c>
      <c r="C2131" s="1" t="s">
        <v>57</v>
      </c>
      <c r="D2131" s="1" t="s">
        <v>41</v>
      </c>
      <c r="E2131" s="3">
        <v>1507661</v>
      </c>
      <c r="F2131" s="1">
        <v>1751.0580720092901</v>
      </c>
      <c r="G2131" s="1">
        <v>4</v>
      </c>
      <c r="H2131" s="1">
        <v>1</v>
      </c>
      <c r="I2131" s="1">
        <v>1</v>
      </c>
      <c r="J2131" s="1">
        <v>1</v>
      </c>
      <c r="M2131" s="1">
        <v>861</v>
      </c>
      <c r="N2131" s="1">
        <v>721</v>
      </c>
      <c r="O2131" s="1">
        <v>1656</v>
      </c>
      <c r="P2131" s="1">
        <v>935</v>
      </c>
      <c r="Q2131" s="1" t="s">
        <v>42</v>
      </c>
      <c r="S2131" s="1" t="s">
        <v>42</v>
      </c>
      <c r="T2131" s="1" t="s">
        <v>203</v>
      </c>
      <c r="V2131" s="5">
        <v>43651</v>
      </c>
      <c r="W2131" s="5">
        <v>42252</v>
      </c>
      <c r="X2131" s="1">
        <v>1475000</v>
      </c>
      <c r="Y2131" s="1">
        <v>1475000</v>
      </c>
      <c r="Z2131" s="5">
        <v>42252</v>
      </c>
      <c r="AA2131" s="1">
        <v>1507661</v>
      </c>
      <c r="AB2131" s="1" t="s">
        <v>1652</v>
      </c>
      <c r="AC2131" s="5">
        <v>42277</v>
      </c>
      <c r="AF2131" s="1">
        <v>10019</v>
      </c>
      <c r="AI2131" s="1" t="s">
        <v>76</v>
      </c>
      <c r="AJ2131" s="1">
        <v>2017</v>
      </c>
      <c r="AK2131" s="1" t="s">
        <v>50</v>
      </c>
      <c r="AL2131" s="1">
        <v>248</v>
      </c>
    </row>
    <row r="2132" spans="1:38" x14ac:dyDescent="0.2">
      <c r="A2132" s="2" t="str">
        <f>HYPERLINK("https://www.compass.com/listing/301-west-53rd-street-unit-22d-manhattan-ny-10019/29388179723335169/","301 W 53rd St, Unit 22D")</f>
        <v>301 W 53rd St, Unit 22D</v>
      </c>
      <c r="B2132" s="2" t="str">
        <f t="shared" si="360"/>
        <v>Fifty Third and Eighth</v>
      </c>
      <c r="C2132" s="1" t="s">
        <v>57</v>
      </c>
      <c r="D2132" s="1" t="s">
        <v>41</v>
      </c>
      <c r="E2132" s="3">
        <v>1568662</v>
      </c>
      <c r="F2132" s="1">
        <v>1988.1642078580401</v>
      </c>
      <c r="G2132" s="1">
        <v>3</v>
      </c>
      <c r="H2132" s="1">
        <v>1</v>
      </c>
      <c r="I2132" s="1">
        <v>1</v>
      </c>
      <c r="J2132" s="1">
        <v>1</v>
      </c>
      <c r="K2132" s="1">
        <v>1</v>
      </c>
      <c r="M2132" s="1">
        <v>789</v>
      </c>
      <c r="N2132" s="1">
        <v>709</v>
      </c>
      <c r="O2132" s="1">
        <v>1629</v>
      </c>
      <c r="P2132" s="1">
        <v>920</v>
      </c>
      <c r="Q2132" s="1" t="s">
        <v>42</v>
      </c>
      <c r="S2132" s="1" t="s">
        <v>42</v>
      </c>
      <c r="T2132" s="1" t="s">
        <v>203</v>
      </c>
      <c r="U2132" s="1">
        <v>396</v>
      </c>
      <c r="V2132" s="5">
        <v>44358</v>
      </c>
      <c r="W2132" s="5">
        <v>42013</v>
      </c>
      <c r="X2132" s="1">
        <v>1535000</v>
      </c>
      <c r="Y2132" s="1">
        <v>1535000</v>
      </c>
      <c r="AA2132" s="1">
        <v>1568661.56</v>
      </c>
      <c r="AB2132" s="1" t="s">
        <v>1653</v>
      </c>
      <c r="AC2132" s="5">
        <v>42409</v>
      </c>
      <c r="AF2132" s="1">
        <v>10019</v>
      </c>
      <c r="AI2132" s="1" t="s">
        <v>76</v>
      </c>
      <c r="AJ2132" s="1">
        <v>2017</v>
      </c>
      <c r="AK2132" s="1" t="s">
        <v>50</v>
      </c>
      <c r="AL2132" s="1">
        <v>248</v>
      </c>
    </row>
    <row r="2133" spans="1:38" x14ac:dyDescent="0.2">
      <c r="A2133" s="2" t="str">
        <f>HYPERLINK("https://www.compass.com/listing/301-west-53rd-street-unit-14c-manhattan-ny-10019/29388148928690673/","301 W 53rd St, Unit 14C")</f>
        <v>301 W 53rd St, Unit 14C</v>
      </c>
      <c r="B2133" s="2" t="str">
        <f t="shared" si="360"/>
        <v>Fifty Third and Eighth</v>
      </c>
      <c r="C2133" s="1" t="s">
        <v>57</v>
      </c>
      <c r="D2133" s="1" t="s">
        <v>41</v>
      </c>
      <c r="E2133" s="3">
        <v>1575127</v>
      </c>
      <c r="F2133" s="1">
        <v>1829.4157955865201</v>
      </c>
      <c r="G2133" s="1">
        <v>4</v>
      </c>
      <c r="H2133" s="1">
        <v>1</v>
      </c>
      <c r="I2133" s="1">
        <v>1</v>
      </c>
      <c r="J2133" s="1">
        <v>1</v>
      </c>
      <c r="M2133" s="1">
        <v>861</v>
      </c>
      <c r="N2133" s="1">
        <v>726</v>
      </c>
      <c r="O2133" s="1">
        <v>1770</v>
      </c>
      <c r="P2133" s="1">
        <v>1044</v>
      </c>
      <c r="Q2133" s="1" t="s">
        <v>42</v>
      </c>
      <c r="S2133" s="1" t="s">
        <v>42</v>
      </c>
      <c r="T2133" s="1" t="s">
        <v>203</v>
      </c>
      <c r="U2133" s="1">
        <v>460</v>
      </c>
      <c r="V2133" s="5">
        <v>43678</v>
      </c>
      <c r="W2133" s="5">
        <v>42014</v>
      </c>
      <c r="X2133" s="1">
        <v>1555000</v>
      </c>
      <c r="Y2133" s="1">
        <v>1555000</v>
      </c>
      <c r="AA2133" s="1">
        <v>1575127</v>
      </c>
      <c r="AB2133" s="1" t="s">
        <v>1654</v>
      </c>
      <c r="AC2133" s="5">
        <v>42475</v>
      </c>
      <c r="AF2133" s="1">
        <v>10019</v>
      </c>
      <c r="AI2133" s="1" t="s">
        <v>76</v>
      </c>
      <c r="AJ2133" s="1">
        <v>2017</v>
      </c>
      <c r="AK2133" s="1" t="s">
        <v>50</v>
      </c>
      <c r="AL2133" s="1">
        <v>248</v>
      </c>
    </row>
    <row r="2134" spans="1:38" x14ac:dyDescent="0.2">
      <c r="A2134" s="2" t="str">
        <f>HYPERLINK("https://www.compass.com/listing/591-3rd-avenue-unit-11a-manhattan-ny-10016/803302851476390025/","591 3rd Ave, Unit 11A")</f>
        <v>591 3rd Ave, Unit 11A</v>
      </c>
      <c r="B2134" s="2" t="str">
        <f>HYPERLINK("https://www.compass.com/building/the-lindley-manhattan-ny/282058799928343829/","The Lindley")</f>
        <v>The Lindley</v>
      </c>
      <c r="C2134" s="1" t="s">
        <v>165</v>
      </c>
      <c r="D2134" s="1" t="s">
        <v>41</v>
      </c>
      <c r="E2134" s="3">
        <v>2130000</v>
      </c>
      <c r="F2134" s="1">
        <v>1977.7158774373199</v>
      </c>
      <c r="G2134" s="1">
        <v>4</v>
      </c>
      <c r="H2134" s="1">
        <v>2</v>
      </c>
      <c r="I2134" s="1">
        <v>2</v>
      </c>
      <c r="J2134" s="1">
        <v>2</v>
      </c>
      <c r="M2134" s="4">
        <v>1077</v>
      </c>
      <c r="N2134" s="1">
        <v>1534</v>
      </c>
      <c r="O2134" s="1">
        <v>2110</v>
      </c>
      <c r="P2134" s="1">
        <v>576</v>
      </c>
      <c r="Q2134" s="1" t="s">
        <v>42</v>
      </c>
      <c r="S2134" s="1" t="s">
        <v>42</v>
      </c>
      <c r="T2134" s="1" t="s">
        <v>203</v>
      </c>
      <c r="U2134" s="1">
        <v>302</v>
      </c>
      <c r="V2134" s="5">
        <v>43272</v>
      </c>
      <c r="W2134" s="5">
        <v>42969</v>
      </c>
      <c r="X2134" s="1">
        <v>2130000</v>
      </c>
      <c r="Y2134" s="1">
        <v>2130000</v>
      </c>
      <c r="AA2134" s="1">
        <v>2130000</v>
      </c>
      <c r="AB2134" s="1" t="s">
        <v>1621</v>
      </c>
      <c r="AC2134" s="5">
        <v>43378</v>
      </c>
      <c r="AF2134" s="1">
        <v>10016</v>
      </c>
      <c r="AI2134" s="1" t="s">
        <v>1464</v>
      </c>
      <c r="AJ2134" s="1">
        <v>2018</v>
      </c>
      <c r="AK2134" s="1" t="s">
        <v>55</v>
      </c>
      <c r="AL2134" s="1">
        <v>74</v>
      </c>
    </row>
    <row r="2135" spans="1:38" x14ac:dyDescent="0.2">
      <c r="A2135" s="2" t="str">
        <f>HYPERLINK("https://www.compass.com/listing/200-east-59th-street-unit-8b-manhattan-ny-10022/328941681382257409/","200 E 59th St, Unit 8B")</f>
        <v>200 E 59th St, Unit 8B</v>
      </c>
      <c r="B2135" s="2" t="str">
        <f t="shared" ref="B2135:B2136" si="361">HYPERLINK("https://www.compass.com/building/200-east-59th-street-manhattan-ny/292859303948266645/","200 East 59th Street")</f>
        <v>200 East 59th Street</v>
      </c>
      <c r="C2135" s="1" t="s">
        <v>171</v>
      </c>
      <c r="D2135" s="1" t="s">
        <v>41</v>
      </c>
      <c r="E2135" s="3">
        <v>1475000</v>
      </c>
      <c r="F2135" s="1">
        <v>1766.4670658682601</v>
      </c>
      <c r="G2135" s="1">
        <v>2.5</v>
      </c>
      <c r="H2135" s="1">
        <v>1</v>
      </c>
      <c r="I2135" s="1">
        <v>2</v>
      </c>
      <c r="J2135" s="1">
        <v>1.5</v>
      </c>
      <c r="K2135" s="1">
        <v>1</v>
      </c>
      <c r="L2135" s="1">
        <v>1</v>
      </c>
      <c r="M2135" s="1">
        <v>835</v>
      </c>
      <c r="N2135" s="1">
        <v>1369</v>
      </c>
      <c r="O2135" s="1">
        <v>2485</v>
      </c>
      <c r="P2135" s="1">
        <v>1116</v>
      </c>
      <c r="Q2135" s="1" t="s">
        <v>42</v>
      </c>
      <c r="S2135" s="1" t="s">
        <v>42</v>
      </c>
      <c r="T2135" s="1" t="s">
        <v>203</v>
      </c>
      <c r="V2135" s="5">
        <v>44364</v>
      </c>
      <c r="W2135" s="5">
        <v>43791</v>
      </c>
      <c r="X2135" s="1">
        <v>2300000</v>
      </c>
      <c r="Y2135" s="1">
        <v>2300000</v>
      </c>
      <c r="Z2135" s="5">
        <v>43791</v>
      </c>
      <c r="AA2135" s="1">
        <v>1475000</v>
      </c>
      <c r="AB2135" s="1" t="s">
        <v>1655</v>
      </c>
      <c r="AC2135" s="5">
        <v>43887</v>
      </c>
      <c r="AF2135" s="1">
        <v>10022</v>
      </c>
      <c r="AI2135" s="1" t="s">
        <v>98</v>
      </c>
      <c r="AJ2135" s="1">
        <v>2018</v>
      </c>
      <c r="AK2135" s="1" t="s">
        <v>81</v>
      </c>
      <c r="AL2135" s="1">
        <v>67</v>
      </c>
    </row>
    <row r="2136" spans="1:38" x14ac:dyDescent="0.2">
      <c r="A2136" s="2" t="str">
        <f>HYPERLINK("https://www.compass.com/listing/200-east-59th-street-unit-6b-manhattan-ny-10022/391144231545151777/","200 E 59th St, Unit 6B")</f>
        <v>200 E 59th St, Unit 6B</v>
      </c>
      <c r="B2136" s="2" t="str">
        <f t="shared" si="361"/>
        <v>200 East 59th Street</v>
      </c>
      <c r="C2136" s="1" t="s">
        <v>171</v>
      </c>
      <c r="D2136" s="1" t="s">
        <v>41</v>
      </c>
      <c r="E2136" s="3">
        <v>1425000</v>
      </c>
      <c r="F2136" s="1">
        <v>1706.5868263473001</v>
      </c>
      <c r="G2136" s="1">
        <v>3</v>
      </c>
      <c r="H2136" s="1">
        <v>1</v>
      </c>
      <c r="I2136" s="1">
        <v>2</v>
      </c>
      <c r="J2136" s="1">
        <v>1.5</v>
      </c>
      <c r="K2136" s="1">
        <v>1</v>
      </c>
      <c r="L2136" s="1">
        <v>1</v>
      </c>
      <c r="M2136" s="1">
        <v>835</v>
      </c>
      <c r="N2136" s="1">
        <v>1369</v>
      </c>
      <c r="O2136" s="1">
        <v>2485</v>
      </c>
      <c r="P2136" s="1">
        <v>1116</v>
      </c>
      <c r="Q2136" s="1" t="s">
        <v>42</v>
      </c>
      <c r="S2136" s="1" t="s">
        <v>42</v>
      </c>
      <c r="T2136" s="1" t="s">
        <v>203</v>
      </c>
      <c r="V2136" s="5">
        <v>44349</v>
      </c>
      <c r="W2136" s="5">
        <v>43792</v>
      </c>
      <c r="X2136" s="1">
        <v>1950000</v>
      </c>
      <c r="Y2136" s="1">
        <v>1950000</v>
      </c>
      <c r="Z2136" s="5">
        <v>43792</v>
      </c>
      <c r="AA2136" s="1">
        <v>1425000</v>
      </c>
      <c r="AB2136" s="1" t="s">
        <v>1656</v>
      </c>
      <c r="AC2136" s="5">
        <v>43885</v>
      </c>
      <c r="AF2136" s="1">
        <v>10022</v>
      </c>
      <c r="AI2136" s="1" t="s">
        <v>1657</v>
      </c>
      <c r="AJ2136" s="1">
        <v>2018</v>
      </c>
      <c r="AK2136" s="1" t="s">
        <v>81</v>
      </c>
      <c r="AL2136" s="1">
        <v>67</v>
      </c>
    </row>
    <row r="2137" spans="1:38" x14ac:dyDescent="0.2">
      <c r="A2137" s="2" t="str">
        <f>HYPERLINK("https://www.compass.com/listing/301-west-53rd-street-unit-21c-manhattan-ny-10019/29388175529022961/","301 W 53rd St, Unit 21C")</f>
        <v>301 W 53rd St, Unit 21C</v>
      </c>
      <c r="B2137" s="2" t="str">
        <f t="shared" ref="B2137:B2139" si="362">HYPERLINK("https://www.compass.com/building/fifty-third-and-eighth-manhattan-ny/281944545158031557/","Fifty Third and Eighth")</f>
        <v>Fifty Third and Eighth</v>
      </c>
      <c r="C2137" s="1" t="s">
        <v>57</v>
      </c>
      <c r="D2137" s="1" t="s">
        <v>41</v>
      </c>
      <c r="E2137" s="3">
        <v>1651009</v>
      </c>
      <c r="F2137" s="1">
        <v>1917.54804878048</v>
      </c>
      <c r="G2137" s="1">
        <v>4</v>
      </c>
      <c r="H2137" s="1">
        <v>2</v>
      </c>
      <c r="I2137" s="1">
        <v>1</v>
      </c>
      <c r="J2137" s="1">
        <v>1</v>
      </c>
      <c r="M2137" s="1">
        <v>861</v>
      </c>
      <c r="N2137" s="1">
        <v>771</v>
      </c>
      <c r="O2137" s="1">
        <v>1770</v>
      </c>
      <c r="P2137" s="1">
        <v>999</v>
      </c>
      <c r="Q2137" s="1" t="s">
        <v>42</v>
      </c>
      <c r="S2137" s="1" t="s">
        <v>42</v>
      </c>
      <c r="T2137" s="1" t="s">
        <v>203</v>
      </c>
      <c r="U2137" s="1">
        <v>412</v>
      </c>
      <c r="V2137" s="5">
        <v>42978</v>
      </c>
      <c r="W2137" s="5">
        <v>42013</v>
      </c>
      <c r="X2137" s="1">
        <v>1630000</v>
      </c>
      <c r="Y2137" s="1">
        <v>1630000</v>
      </c>
      <c r="AA2137" s="1">
        <v>1651008.87</v>
      </c>
      <c r="AB2137" s="1" t="s">
        <v>1658</v>
      </c>
      <c r="AC2137" s="5">
        <v>42425</v>
      </c>
      <c r="AF2137" s="1">
        <v>10019</v>
      </c>
      <c r="AI2137" s="1" t="s">
        <v>76</v>
      </c>
      <c r="AJ2137" s="1">
        <v>2017</v>
      </c>
      <c r="AK2137" s="1" t="s">
        <v>50</v>
      </c>
      <c r="AL2137" s="1">
        <v>248</v>
      </c>
    </row>
    <row r="2138" spans="1:38" x14ac:dyDescent="0.2">
      <c r="A2138" s="2" t="str">
        <f>HYPERLINK("https://www.compass.com/listing/301-west-53rd-street-unit-15c-manhattan-ny-10019/29388153307544097/","301 W 53rd St, Unit 15C")</f>
        <v>301 W 53rd St, Unit 15C</v>
      </c>
      <c r="B2138" s="2" t="str">
        <f t="shared" si="362"/>
        <v>Fifty Third and Eighth</v>
      </c>
      <c r="C2138" s="1" t="s">
        <v>57</v>
      </c>
      <c r="D2138" s="1" t="s">
        <v>41</v>
      </c>
      <c r="E2138" s="3">
        <v>1570966</v>
      </c>
      <c r="F2138" s="1">
        <v>1824.5827409988301</v>
      </c>
      <c r="G2138" s="1">
        <v>4</v>
      </c>
      <c r="H2138" s="1">
        <v>2</v>
      </c>
      <c r="I2138" s="1">
        <v>1</v>
      </c>
      <c r="J2138" s="1">
        <v>1</v>
      </c>
      <c r="M2138" s="1">
        <v>861</v>
      </c>
      <c r="N2138" s="1">
        <v>749</v>
      </c>
      <c r="O2138" s="1">
        <v>1721</v>
      </c>
      <c r="P2138" s="1">
        <v>972</v>
      </c>
      <c r="Q2138" s="1" t="s">
        <v>42</v>
      </c>
      <c r="S2138" s="1" t="s">
        <v>42</v>
      </c>
      <c r="T2138" s="1" t="s">
        <v>203</v>
      </c>
      <c r="U2138" s="1">
        <v>276</v>
      </c>
      <c r="V2138" s="5">
        <v>42314</v>
      </c>
      <c r="W2138" s="5">
        <v>42013</v>
      </c>
      <c r="X2138" s="1">
        <v>1565000</v>
      </c>
      <c r="Y2138" s="1">
        <v>1565000</v>
      </c>
      <c r="Z2138" s="5">
        <v>42292</v>
      </c>
      <c r="AA2138" s="1">
        <v>1570965.74</v>
      </c>
      <c r="AB2138" s="1" t="s">
        <v>1659</v>
      </c>
      <c r="AC2138" s="5">
        <v>42290</v>
      </c>
      <c r="AF2138" s="1">
        <v>10019</v>
      </c>
      <c r="AI2138" s="1" t="s">
        <v>76</v>
      </c>
      <c r="AJ2138" s="1">
        <v>2017</v>
      </c>
      <c r="AK2138" s="1" t="s">
        <v>50</v>
      </c>
      <c r="AL2138" s="1">
        <v>248</v>
      </c>
    </row>
    <row r="2139" spans="1:38" x14ac:dyDescent="0.2">
      <c r="A2139" s="2" t="str">
        <f>HYPERLINK("https://www.compass.com/listing/301-west-53rd-street-unit-22b-manhattan-ny-10019/29388178909576161/","301 W 53rd St, Unit 22B")</f>
        <v>301 W 53rd St, Unit 22B</v>
      </c>
      <c r="B2139" s="2" t="str">
        <f t="shared" si="362"/>
        <v>Fifty Third and Eighth</v>
      </c>
      <c r="C2139" s="1" t="s">
        <v>57</v>
      </c>
      <c r="D2139" s="1" t="s">
        <v>41</v>
      </c>
      <c r="E2139" s="3">
        <v>1550698</v>
      </c>
      <c r="F2139" s="1">
        <v>1948.11306532663</v>
      </c>
      <c r="G2139" s="1">
        <v>4</v>
      </c>
      <c r="H2139" s="1">
        <v>2</v>
      </c>
      <c r="I2139" s="1">
        <v>1</v>
      </c>
      <c r="J2139" s="1">
        <v>1</v>
      </c>
      <c r="M2139" s="1">
        <v>796</v>
      </c>
      <c r="N2139" s="1">
        <v>934</v>
      </c>
      <c r="O2139" s="1">
        <v>2145</v>
      </c>
      <c r="P2139" s="1">
        <v>1211</v>
      </c>
      <c r="Q2139" s="1" t="s">
        <v>42</v>
      </c>
      <c r="S2139" s="1" t="s">
        <v>42</v>
      </c>
      <c r="T2139" s="1" t="s">
        <v>203</v>
      </c>
      <c r="V2139" s="5">
        <v>43650</v>
      </c>
      <c r="W2139" s="5">
        <v>42252</v>
      </c>
      <c r="X2139" s="1">
        <v>1545000</v>
      </c>
      <c r="Y2139" s="1">
        <v>1545000</v>
      </c>
      <c r="Z2139" s="5">
        <v>42252</v>
      </c>
      <c r="AA2139" s="1">
        <v>1550698</v>
      </c>
      <c r="AB2139" s="1" t="s">
        <v>1660</v>
      </c>
      <c r="AC2139" s="5">
        <v>42264</v>
      </c>
      <c r="AF2139" s="1">
        <v>10019</v>
      </c>
      <c r="AI2139" s="1" t="s">
        <v>76</v>
      </c>
      <c r="AJ2139" s="1">
        <v>2017</v>
      </c>
      <c r="AK2139" s="1" t="s">
        <v>50</v>
      </c>
      <c r="AL2139" s="1">
        <v>248</v>
      </c>
    </row>
    <row r="2140" spans="1:38" x14ac:dyDescent="0.2">
      <c r="A2140" s="2" t="str">
        <f>HYPERLINK("https://www.compass.com/listing/775-riverside-drive-unit-6f-manhattan-ny-10032/29435477421478801/","775 Riverside Dr, Unit 6F")</f>
        <v>775 Riverside Dr, Unit 6F</v>
      </c>
      <c r="B2140" s="2" t="str">
        <f t="shared" ref="B2140:B2142" si="363">HYPERLINK("https://www.compass.com/building/775-riverside-dr-manhattan-ny-10032/294837409665591813/","775 Riverside Dr")</f>
        <v>775 Riverside Dr</v>
      </c>
      <c r="C2140" s="1" t="s">
        <v>164</v>
      </c>
      <c r="D2140" s="1" t="s">
        <v>41</v>
      </c>
      <c r="E2140" s="3">
        <v>325494</v>
      </c>
      <c r="F2140" s="1">
        <v>686.69620253164499</v>
      </c>
      <c r="H2140" s="1">
        <v>1</v>
      </c>
      <c r="J2140" s="1">
        <v>1</v>
      </c>
      <c r="K2140" s="1">
        <v>1</v>
      </c>
      <c r="M2140" s="1">
        <v>474</v>
      </c>
      <c r="N2140" s="1">
        <v>348</v>
      </c>
      <c r="O2140" s="1">
        <v>626</v>
      </c>
      <c r="P2140" s="1">
        <v>278</v>
      </c>
      <c r="Q2140" s="1" t="s">
        <v>42</v>
      </c>
      <c r="S2140" s="1" t="s">
        <v>42</v>
      </c>
      <c r="T2140" s="1" t="s">
        <v>203</v>
      </c>
      <c r="AA2140" s="1">
        <v>325494</v>
      </c>
      <c r="AB2140" s="1" t="s">
        <v>1661</v>
      </c>
      <c r="AC2140" s="5">
        <v>42359</v>
      </c>
      <c r="AF2140" s="1">
        <v>10032</v>
      </c>
      <c r="AJ2140" s="1">
        <v>1931</v>
      </c>
    </row>
    <row r="2141" spans="1:38" x14ac:dyDescent="0.2">
      <c r="A2141" s="2" t="str">
        <f>HYPERLINK("https://www.compass.com/listing/775-riverside-drive-unit-4b-manhattan-ny-10032/480883898103025617/","775 Riverside Dr, Unit 4B")</f>
        <v>775 Riverside Dr, Unit 4B</v>
      </c>
      <c r="B2141" s="2" t="str">
        <f t="shared" si="363"/>
        <v>775 Riverside Dr</v>
      </c>
      <c r="C2141" s="1" t="s">
        <v>164</v>
      </c>
      <c r="D2141" s="1" t="s">
        <v>41</v>
      </c>
      <c r="E2141" s="3">
        <v>64000</v>
      </c>
      <c r="F2141" s="1">
        <v>71.829405162738496</v>
      </c>
      <c r="H2141" s="1">
        <v>1</v>
      </c>
      <c r="J2141" s="1">
        <v>1</v>
      </c>
      <c r="M2141" s="1">
        <v>891</v>
      </c>
      <c r="N2141" s="1">
        <v>604</v>
      </c>
      <c r="O2141" s="1">
        <v>768</v>
      </c>
      <c r="P2141" s="1">
        <v>164</v>
      </c>
      <c r="Q2141" s="1" t="s">
        <v>42</v>
      </c>
      <c r="S2141" s="1" t="s">
        <v>42</v>
      </c>
      <c r="T2141" s="1" t="s">
        <v>203</v>
      </c>
      <c r="AA2141" s="1">
        <v>64000</v>
      </c>
      <c r="AB2141" s="1" t="s">
        <v>1662</v>
      </c>
      <c r="AC2141" s="5">
        <v>42649</v>
      </c>
      <c r="AF2141" s="1">
        <v>10032</v>
      </c>
      <c r="AJ2141" s="1">
        <v>1931</v>
      </c>
    </row>
    <row r="2142" spans="1:38" x14ac:dyDescent="0.2">
      <c r="A2142" s="2" t="str">
        <f>HYPERLINK("https://www.compass.com/listing/775-riverside-drive-unit-1k-manhattan-ny-10032/29435470056280865/","775 Riverside Dr, Unit 1K")</f>
        <v>775 Riverside Dr, Unit 1K</v>
      </c>
      <c r="B2142" s="2" t="str">
        <f t="shared" si="363"/>
        <v>775 Riverside Dr</v>
      </c>
      <c r="C2142" s="1" t="s">
        <v>164</v>
      </c>
      <c r="D2142" s="1" t="s">
        <v>41</v>
      </c>
      <c r="E2142" s="3">
        <v>420810</v>
      </c>
      <c r="F2142" s="1">
        <v>558.10344827586198</v>
      </c>
      <c r="G2142" s="1">
        <v>3</v>
      </c>
      <c r="H2142" s="1">
        <v>1</v>
      </c>
      <c r="I2142" s="1">
        <v>1</v>
      </c>
      <c r="J2142" s="1">
        <v>1</v>
      </c>
      <c r="M2142" s="1">
        <v>754</v>
      </c>
      <c r="N2142" s="1">
        <v>450</v>
      </c>
      <c r="O2142" s="1">
        <v>573</v>
      </c>
      <c r="P2142" s="1">
        <v>123</v>
      </c>
      <c r="Q2142" s="1" t="s">
        <v>42</v>
      </c>
      <c r="S2142" s="1" t="s">
        <v>42</v>
      </c>
      <c r="T2142" s="1" t="s">
        <v>203</v>
      </c>
      <c r="U2142" s="1">
        <v>33</v>
      </c>
      <c r="V2142" s="5">
        <v>43663</v>
      </c>
      <c r="W2142" s="5">
        <v>42092</v>
      </c>
      <c r="X2142" s="1">
        <v>415000</v>
      </c>
      <c r="Y2142" s="1">
        <v>415000</v>
      </c>
      <c r="Z2142" s="5">
        <v>42125</v>
      </c>
      <c r="AA2142" s="1">
        <v>420810</v>
      </c>
      <c r="AB2142" s="1" t="s">
        <v>1663</v>
      </c>
      <c r="AC2142" s="5">
        <v>42452</v>
      </c>
      <c r="AF2142" s="1">
        <v>10032</v>
      </c>
      <c r="AJ2142" s="1">
        <v>1931</v>
      </c>
    </row>
    <row r="2143" spans="1:38" x14ac:dyDescent="0.2">
      <c r="A2143" s="2" t="str">
        <f>HYPERLINK("https://www.compass.com/listing/400-west-61st-street-unit-25j-manhattan-ny-10069/583786469557178897/","400 W 61st St, Unit 25J")</f>
        <v>400 W 61st St, Unit 25J</v>
      </c>
      <c r="B2143" s="2" t="str">
        <f>HYPERLINK("https://www.compass.com/building/2-waterline-square-manhattan-ny/405244161814084533/","2 Waterline Square")</f>
        <v>2 Waterline Square</v>
      </c>
      <c r="C2143" s="1" t="s">
        <v>47</v>
      </c>
      <c r="D2143" s="1" t="s">
        <v>41</v>
      </c>
      <c r="E2143" s="3">
        <v>3630061</v>
      </c>
      <c r="F2143" s="1">
        <v>2624.7731381055601</v>
      </c>
      <c r="M2143" s="4">
        <v>1383</v>
      </c>
      <c r="Q2143" s="1" t="s">
        <v>42</v>
      </c>
      <c r="S2143" s="1" t="s">
        <v>42</v>
      </c>
      <c r="T2143" s="1" t="s">
        <v>203</v>
      </c>
      <c r="AA2143" s="1">
        <v>3630061.25</v>
      </c>
      <c r="AB2143" s="1" t="s">
        <v>1664</v>
      </c>
      <c r="AC2143" s="5">
        <v>44042</v>
      </c>
      <c r="AF2143" s="1">
        <v>10069</v>
      </c>
      <c r="AJ2143" s="1">
        <v>2019</v>
      </c>
      <c r="AL2143" s="1">
        <v>329</v>
      </c>
    </row>
    <row r="2144" spans="1:38" x14ac:dyDescent="0.2">
      <c r="A2144" s="2" t="str">
        <f>HYPERLINK("https://www.compass.com/listing/301-west-53rd-street-unit-12c-manhattan-ny-10019/29388142058420369/","301 W 53rd St, Unit 12C")</f>
        <v>301 W 53rd St, Unit 12C</v>
      </c>
      <c r="B2144" s="2" t="str">
        <f>HYPERLINK("https://www.compass.com/building/fifty-third-and-eighth-manhattan-ny/281944545158031557/","Fifty Third and Eighth")</f>
        <v>Fifty Third and Eighth</v>
      </c>
      <c r="C2144" s="1" t="s">
        <v>57</v>
      </c>
      <c r="D2144" s="1" t="s">
        <v>41</v>
      </c>
      <c r="E2144" s="3">
        <v>1535882</v>
      </c>
      <c r="F2144" s="1">
        <v>1783.83513356562</v>
      </c>
      <c r="G2144" s="1">
        <v>4</v>
      </c>
      <c r="H2144" s="1">
        <v>1</v>
      </c>
      <c r="I2144" s="1">
        <v>1</v>
      </c>
      <c r="J2144" s="1">
        <v>1</v>
      </c>
      <c r="M2144" s="1">
        <v>861</v>
      </c>
      <c r="N2144" s="1">
        <v>719</v>
      </c>
      <c r="O2144" s="1">
        <v>1753</v>
      </c>
      <c r="P2144" s="1">
        <v>1034</v>
      </c>
      <c r="Q2144" s="1" t="s">
        <v>42</v>
      </c>
      <c r="S2144" s="1" t="s">
        <v>42</v>
      </c>
      <c r="T2144" s="1" t="s">
        <v>203</v>
      </c>
      <c r="U2144" s="1">
        <v>34</v>
      </c>
      <c r="V2144" s="5">
        <v>43600</v>
      </c>
      <c r="W2144" s="5">
        <v>42418</v>
      </c>
      <c r="X2144" s="1">
        <v>1530000</v>
      </c>
      <c r="Y2144" s="1">
        <v>1530000</v>
      </c>
      <c r="Z2144" s="5">
        <v>42453</v>
      </c>
      <c r="AA2144" s="1">
        <v>1535882.05</v>
      </c>
      <c r="AB2144" s="1" t="s">
        <v>1665</v>
      </c>
      <c r="AC2144" s="5">
        <v>42507</v>
      </c>
      <c r="AF2144" s="1">
        <v>10019</v>
      </c>
      <c r="AI2144" s="1" t="s">
        <v>76</v>
      </c>
      <c r="AJ2144" s="1">
        <v>2017</v>
      </c>
      <c r="AK2144" s="1" t="s">
        <v>50</v>
      </c>
      <c r="AL2144" s="1">
        <v>248</v>
      </c>
    </row>
    <row r="2145" spans="1:38" x14ac:dyDescent="0.2">
      <c r="A2145" s="2" t="str">
        <f>HYPERLINK("https://www.compass.com/listing/200-east-59th-street-unit-7b-manhattan-ny-10022/85944573074873121/","200 E 59th St, Unit 7B")</f>
        <v>200 E 59th St, Unit 7B</v>
      </c>
      <c r="B2145" s="2" t="str">
        <f>HYPERLINK("https://www.compass.com/building/200-east-59th-street-manhattan-ny/292859303948266645/","200 East 59th Street")</f>
        <v>200 East 59th Street</v>
      </c>
      <c r="C2145" s="1" t="s">
        <v>171</v>
      </c>
      <c r="D2145" s="1" t="s">
        <v>41</v>
      </c>
      <c r="E2145" s="3">
        <v>1475000</v>
      </c>
      <c r="F2145" s="1">
        <v>1506.63942798774</v>
      </c>
      <c r="G2145" s="1">
        <v>3</v>
      </c>
      <c r="H2145" s="1">
        <v>1</v>
      </c>
      <c r="I2145" s="1">
        <v>1</v>
      </c>
      <c r="J2145" s="1">
        <v>1.5</v>
      </c>
      <c r="K2145" s="1">
        <v>1</v>
      </c>
      <c r="L2145" s="1">
        <v>1</v>
      </c>
      <c r="M2145" s="1">
        <v>979</v>
      </c>
      <c r="N2145" s="1">
        <v>1198</v>
      </c>
      <c r="O2145" s="1">
        <v>2289</v>
      </c>
      <c r="P2145" s="1">
        <v>1091</v>
      </c>
      <c r="Q2145" s="1" t="s">
        <v>42</v>
      </c>
      <c r="S2145" s="1" t="s">
        <v>42</v>
      </c>
      <c r="T2145" s="1" t="s">
        <v>203</v>
      </c>
      <c r="U2145" s="1">
        <v>491</v>
      </c>
      <c r="V2145" s="5">
        <v>43876</v>
      </c>
      <c r="W2145" s="5">
        <v>43370</v>
      </c>
      <c r="X2145" s="1">
        <v>1875000</v>
      </c>
      <c r="Y2145" s="1">
        <v>1875000</v>
      </c>
      <c r="AA2145" s="1">
        <v>1475000</v>
      </c>
      <c r="AB2145" s="1" t="s">
        <v>1666</v>
      </c>
      <c r="AC2145" s="5">
        <v>43861</v>
      </c>
      <c r="AF2145" s="1">
        <v>10022</v>
      </c>
      <c r="AI2145" s="1" t="s">
        <v>93</v>
      </c>
      <c r="AJ2145" s="1">
        <v>2018</v>
      </c>
      <c r="AK2145" s="1" t="s">
        <v>50</v>
      </c>
      <c r="AL2145" s="1">
        <v>67</v>
      </c>
    </row>
    <row r="2146" spans="1:38" x14ac:dyDescent="0.2">
      <c r="A2146" s="2" t="str">
        <f>HYPERLINK("https://www.compass.com/listing/301-west-53rd-street-unit-4e-manhattan-ny-10019/29507298032444673/","301 W 53rd St, Unit 4E")</f>
        <v>301 W 53rd St, Unit 4E</v>
      </c>
      <c r="B2146" s="2" t="str">
        <f>HYPERLINK("https://www.compass.com/building/fifty-third-and-eighth-manhattan-ny/281944545158031557/","Fifty Third and Eighth")</f>
        <v>Fifty Third and Eighth</v>
      </c>
      <c r="C2146" s="1" t="s">
        <v>57</v>
      </c>
      <c r="D2146" s="1" t="s">
        <v>41</v>
      </c>
      <c r="E2146" s="3">
        <v>1741828</v>
      </c>
      <c r="F2146" s="1">
        <v>1676.4464196342601</v>
      </c>
      <c r="G2146" s="1">
        <v>5</v>
      </c>
      <c r="H2146" s="1">
        <v>2</v>
      </c>
      <c r="I2146" s="1">
        <v>2</v>
      </c>
      <c r="J2146" s="1">
        <v>2</v>
      </c>
      <c r="M2146" s="4">
        <v>1039</v>
      </c>
      <c r="N2146" s="1">
        <v>838</v>
      </c>
      <c r="O2146" s="1">
        <v>2527</v>
      </c>
      <c r="P2146" s="1">
        <v>1689</v>
      </c>
      <c r="Q2146" s="1" t="s">
        <v>42</v>
      </c>
      <c r="S2146" s="1" t="s">
        <v>42</v>
      </c>
      <c r="T2146" s="1" t="s">
        <v>203</v>
      </c>
      <c r="U2146" s="1">
        <v>381</v>
      </c>
      <c r="V2146" s="5">
        <v>43298</v>
      </c>
      <c r="W2146" s="5">
        <v>42891</v>
      </c>
      <c r="X2146" s="1">
        <v>1865000</v>
      </c>
      <c r="Y2146" s="1">
        <v>1865000</v>
      </c>
      <c r="AA2146" s="1">
        <v>1741827.83</v>
      </c>
      <c r="AB2146" s="1" t="s">
        <v>1667</v>
      </c>
      <c r="AC2146" s="5">
        <v>43272</v>
      </c>
      <c r="AF2146" s="1">
        <v>10019</v>
      </c>
      <c r="AI2146" s="1" t="s">
        <v>76</v>
      </c>
      <c r="AJ2146" s="1">
        <v>2017</v>
      </c>
      <c r="AK2146" s="1" t="s">
        <v>50</v>
      </c>
      <c r="AL2146" s="1">
        <v>248</v>
      </c>
    </row>
    <row r="2147" spans="1:38" x14ac:dyDescent="0.2">
      <c r="A2147" s="2" t="str">
        <f>HYPERLINK("https://www.compass.com/listing/400-west-61st-street-unit-pha-manhattan-ny-10069/842484901748662177/","400 W 61st St, Unit PHA")</f>
        <v>400 W 61st St, Unit PHA</v>
      </c>
      <c r="B2147" s="2" t="str">
        <f>HYPERLINK("https://www.compass.com/building/2-waterline-square-manhattan-ny/405244161814084533/","2 Waterline Square")</f>
        <v>2 Waterline Square</v>
      </c>
      <c r="C2147" s="1" t="s">
        <v>47</v>
      </c>
      <c r="D2147" s="1" t="s">
        <v>41</v>
      </c>
      <c r="E2147" s="3">
        <v>15453538</v>
      </c>
      <c r="F2147" s="1">
        <v>3292.1894972304999</v>
      </c>
      <c r="M2147" s="4">
        <v>4694</v>
      </c>
      <c r="Q2147" s="1" t="s">
        <v>42</v>
      </c>
      <c r="S2147" s="1" t="s">
        <v>42</v>
      </c>
      <c r="T2147" s="1" t="s">
        <v>203</v>
      </c>
      <c r="AA2147" s="1">
        <v>15453537.5</v>
      </c>
      <c r="AB2147" s="1" t="s">
        <v>1668</v>
      </c>
      <c r="AC2147" s="5">
        <v>44410</v>
      </c>
      <c r="AF2147" s="1">
        <v>10069</v>
      </c>
      <c r="AJ2147" s="1">
        <v>2019</v>
      </c>
      <c r="AL2147" s="1">
        <v>329</v>
      </c>
    </row>
    <row r="2148" spans="1:38" x14ac:dyDescent="0.2">
      <c r="A2148" s="2" t="str">
        <f>HYPERLINK("https://www.compass.com/listing/301-west-53rd-street-unit-11e-manhattan-ny-10019/29388138736531553/","301 W 53rd St, Unit 11E")</f>
        <v>301 W 53rd St, Unit 11E</v>
      </c>
      <c r="B2148" s="2" t="str">
        <f t="shared" ref="B2148:B2154" si="364">HYPERLINK("https://www.compass.com/building/fifty-third-and-eighth-manhattan-ny/281944545158031557/","Fifty Third and Eighth")</f>
        <v>Fifty Third and Eighth</v>
      </c>
      <c r="C2148" s="1" t="s">
        <v>57</v>
      </c>
      <c r="D2148" s="1" t="s">
        <v>41</v>
      </c>
      <c r="E2148" s="3">
        <v>1843671</v>
      </c>
      <c r="F2148" s="1">
        <v>1774.46679499518</v>
      </c>
      <c r="G2148" s="1">
        <v>6</v>
      </c>
      <c r="H2148" s="1">
        <v>2</v>
      </c>
      <c r="I2148" s="1">
        <v>2</v>
      </c>
      <c r="J2148" s="1">
        <v>2</v>
      </c>
      <c r="M2148" s="4">
        <v>1039</v>
      </c>
      <c r="N2148" s="1">
        <v>887</v>
      </c>
      <c r="O2148" s="1">
        <v>2037</v>
      </c>
      <c r="P2148" s="1">
        <v>1150</v>
      </c>
      <c r="Q2148" s="1" t="s">
        <v>42</v>
      </c>
      <c r="S2148" s="1" t="s">
        <v>42</v>
      </c>
      <c r="T2148" s="1" t="s">
        <v>203</v>
      </c>
      <c r="V2148" s="5">
        <v>43654</v>
      </c>
      <c r="W2148" s="5">
        <v>42333</v>
      </c>
      <c r="X2148" s="1">
        <v>1820000</v>
      </c>
      <c r="Y2148" s="1">
        <v>1820000</v>
      </c>
      <c r="Z2148" s="5">
        <v>42333</v>
      </c>
      <c r="AA2148" s="1">
        <v>1843671</v>
      </c>
      <c r="AB2148" s="1" t="s">
        <v>1669</v>
      </c>
      <c r="AC2148" s="5">
        <v>42446</v>
      </c>
      <c r="AF2148" s="1">
        <v>10019</v>
      </c>
      <c r="AI2148" s="1" t="s">
        <v>76</v>
      </c>
      <c r="AJ2148" s="1">
        <v>2017</v>
      </c>
      <c r="AK2148" s="1" t="s">
        <v>50</v>
      </c>
      <c r="AL2148" s="1">
        <v>248</v>
      </c>
    </row>
    <row r="2149" spans="1:38" x14ac:dyDescent="0.2">
      <c r="A2149" s="2" t="str">
        <f>HYPERLINK("https://www.compass.com/listing/301-west-53rd-street-unit-12a-manhattan-ny-10019/29388141261558609/","301 W 53rd St, Unit 12A")</f>
        <v>301 W 53rd St, Unit 12A</v>
      </c>
      <c r="B2149" s="2" t="str">
        <f t="shared" si="364"/>
        <v>Fifty Third and Eighth</v>
      </c>
      <c r="C2149" s="1" t="s">
        <v>57</v>
      </c>
      <c r="D2149" s="1" t="s">
        <v>41</v>
      </c>
      <c r="E2149" s="3">
        <v>1930127</v>
      </c>
      <c r="F2149" s="1">
        <v>1857.6778825793999</v>
      </c>
      <c r="G2149" s="1">
        <v>6</v>
      </c>
      <c r="H2149" s="1">
        <v>2</v>
      </c>
      <c r="I2149" s="1">
        <v>2</v>
      </c>
      <c r="J2149" s="1">
        <v>2</v>
      </c>
      <c r="M2149" s="4">
        <v>1039</v>
      </c>
      <c r="N2149" s="1">
        <v>892</v>
      </c>
      <c r="O2149" s="1">
        <v>2048</v>
      </c>
      <c r="P2149" s="1">
        <v>1156</v>
      </c>
      <c r="Q2149" s="1" t="s">
        <v>42</v>
      </c>
      <c r="S2149" s="1" t="s">
        <v>42</v>
      </c>
      <c r="T2149" s="1" t="s">
        <v>203</v>
      </c>
      <c r="U2149" s="1">
        <v>399</v>
      </c>
      <c r="V2149" s="5">
        <v>42580</v>
      </c>
      <c r="W2149" s="5">
        <v>42013</v>
      </c>
      <c r="X2149" s="1">
        <v>1930000</v>
      </c>
      <c r="Y2149" s="1">
        <v>1930000</v>
      </c>
      <c r="AA2149" s="1">
        <v>1930127.32</v>
      </c>
      <c r="AB2149" s="1" t="s">
        <v>1670</v>
      </c>
      <c r="AC2149" s="5">
        <v>42412</v>
      </c>
      <c r="AF2149" s="1">
        <v>10019</v>
      </c>
      <c r="AI2149" s="1" t="s">
        <v>76</v>
      </c>
      <c r="AJ2149" s="1">
        <v>2017</v>
      </c>
      <c r="AK2149" s="1" t="s">
        <v>50</v>
      </c>
      <c r="AL2149" s="1">
        <v>248</v>
      </c>
    </row>
    <row r="2150" spans="1:38" x14ac:dyDescent="0.2">
      <c r="A2150" s="2" t="str">
        <f>HYPERLINK("https://www.compass.com/listing/301-west-53rd-street-unit-21e-manhattan-ny-10019/29388176351050673/","301 W 53rd St, Unit 21E")</f>
        <v>301 W 53rd St, Unit 21E</v>
      </c>
      <c r="B2150" s="2" t="str">
        <f t="shared" si="364"/>
        <v>Fifty Third and Eighth</v>
      </c>
      <c r="C2150" s="1" t="s">
        <v>57</v>
      </c>
      <c r="D2150" s="1" t="s">
        <v>41</v>
      </c>
      <c r="E2150" s="3">
        <v>2013355</v>
      </c>
      <c r="F2150" s="1">
        <v>1937.7815206929699</v>
      </c>
      <c r="G2150" s="1">
        <v>6</v>
      </c>
      <c r="H2150" s="1">
        <v>2</v>
      </c>
      <c r="I2150" s="1">
        <v>2</v>
      </c>
      <c r="J2150" s="1">
        <v>2</v>
      </c>
      <c r="M2150" s="4">
        <v>1039</v>
      </c>
      <c r="N2150" s="1">
        <v>930</v>
      </c>
      <c r="O2150" s="1">
        <v>2136</v>
      </c>
      <c r="P2150" s="1">
        <v>1206</v>
      </c>
      <c r="Q2150" s="1" t="s">
        <v>42</v>
      </c>
      <c r="S2150" s="1" t="s">
        <v>42</v>
      </c>
      <c r="T2150" s="1" t="s">
        <v>203</v>
      </c>
      <c r="V2150" s="5">
        <v>43650</v>
      </c>
      <c r="W2150" s="5">
        <v>42294</v>
      </c>
      <c r="X2150" s="1">
        <v>1970000</v>
      </c>
      <c r="Y2150" s="1">
        <v>1970000</v>
      </c>
      <c r="Z2150" s="5">
        <v>42294</v>
      </c>
      <c r="AA2150" s="1">
        <v>2013355</v>
      </c>
      <c r="AB2150" s="1" t="s">
        <v>1671</v>
      </c>
      <c r="AC2150" s="5">
        <v>42357</v>
      </c>
      <c r="AF2150" s="1">
        <v>10019</v>
      </c>
      <c r="AI2150" s="1" t="s">
        <v>76</v>
      </c>
      <c r="AJ2150" s="1">
        <v>2017</v>
      </c>
      <c r="AK2150" s="1" t="s">
        <v>50</v>
      </c>
      <c r="AL2150" s="1">
        <v>248</v>
      </c>
    </row>
    <row r="2151" spans="1:38" x14ac:dyDescent="0.2">
      <c r="A2151" s="2" t="str">
        <f>HYPERLINK("https://www.compass.com/listing/301-west-53rd-street-unit-23e-manhattan-ny-10019/29388184286729873/","301 W 53rd St, Unit 23E")</f>
        <v>301 W 53rd St, Unit 23E</v>
      </c>
      <c r="B2151" s="2" t="str">
        <f t="shared" si="364"/>
        <v>Fifty Third and Eighth</v>
      </c>
      <c r="C2151" s="1" t="s">
        <v>57</v>
      </c>
      <c r="D2151" s="1" t="s">
        <v>41</v>
      </c>
      <c r="E2151" s="3">
        <v>2043969</v>
      </c>
      <c r="F2151" s="1">
        <v>1967.2463907603401</v>
      </c>
      <c r="G2151" s="1">
        <v>6</v>
      </c>
      <c r="H2151" s="1">
        <v>2</v>
      </c>
      <c r="I2151" s="1">
        <v>2</v>
      </c>
      <c r="J2151" s="1">
        <v>2</v>
      </c>
      <c r="M2151" s="4">
        <v>1039</v>
      </c>
      <c r="N2151" s="1">
        <v>938</v>
      </c>
      <c r="O2151" s="1">
        <v>2155</v>
      </c>
      <c r="P2151" s="1">
        <v>1217</v>
      </c>
      <c r="Q2151" s="1" t="s">
        <v>42</v>
      </c>
      <c r="S2151" s="1" t="s">
        <v>42</v>
      </c>
      <c r="T2151" s="1" t="s">
        <v>203</v>
      </c>
      <c r="V2151" s="5">
        <v>43654</v>
      </c>
      <c r="W2151" s="5">
        <v>42294</v>
      </c>
      <c r="X2151" s="1">
        <v>2000000</v>
      </c>
      <c r="Y2151" s="1">
        <v>2000000</v>
      </c>
      <c r="Z2151" s="5">
        <v>42294</v>
      </c>
      <c r="AA2151" s="1">
        <v>2043969</v>
      </c>
      <c r="AB2151" s="1" t="s">
        <v>1672</v>
      </c>
      <c r="AC2151" s="5">
        <v>42308</v>
      </c>
      <c r="AF2151" s="1">
        <v>10019</v>
      </c>
      <c r="AI2151" s="1" t="s">
        <v>153</v>
      </c>
      <c r="AJ2151" s="1">
        <v>2017</v>
      </c>
      <c r="AK2151" s="1" t="s">
        <v>50</v>
      </c>
      <c r="AL2151" s="1">
        <v>248</v>
      </c>
    </row>
    <row r="2152" spans="1:38" x14ac:dyDescent="0.2">
      <c r="A2152" s="2" t="str">
        <f>HYPERLINK("https://www.compass.com/listing/301-west-53rd-street-unit-25a-manhattan-ny-10019/29388189521229473/","301 W 53rd St, Unit 25A")</f>
        <v>301 W 53rd St, Unit 25A</v>
      </c>
      <c r="B2152" s="2" t="str">
        <f t="shared" si="364"/>
        <v>Fifty Third and Eighth</v>
      </c>
      <c r="C2152" s="1" t="s">
        <v>57</v>
      </c>
      <c r="D2152" s="1" t="s">
        <v>41</v>
      </c>
      <c r="E2152" s="3">
        <v>2181501</v>
      </c>
      <c r="F2152" s="1">
        <v>2099.61597690086</v>
      </c>
      <c r="G2152" s="1">
        <v>6</v>
      </c>
      <c r="H2152" s="1">
        <v>2</v>
      </c>
      <c r="I2152" s="1">
        <v>2</v>
      </c>
      <c r="J2152" s="1">
        <v>2</v>
      </c>
      <c r="M2152" s="4">
        <v>1039</v>
      </c>
      <c r="N2152" s="1">
        <v>947</v>
      </c>
      <c r="O2152" s="1">
        <v>2175</v>
      </c>
      <c r="P2152" s="1">
        <v>1228</v>
      </c>
      <c r="Q2152" s="1" t="s">
        <v>42</v>
      </c>
      <c r="S2152" s="1" t="s">
        <v>42</v>
      </c>
      <c r="T2152" s="1" t="s">
        <v>203</v>
      </c>
      <c r="U2152" s="1">
        <v>1</v>
      </c>
      <c r="V2152" s="5">
        <v>43654</v>
      </c>
      <c r="W2152" s="5">
        <v>42286</v>
      </c>
      <c r="X2152" s="1">
        <v>2135000</v>
      </c>
      <c r="Y2152" s="1">
        <v>2135000</v>
      </c>
      <c r="Z2152" s="5">
        <v>42287</v>
      </c>
      <c r="AA2152" s="1">
        <v>2181501</v>
      </c>
      <c r="AB2152" s="1" t="s">
        <v>1673</v>
      </c>
      <c r="AC2152" s="5">
        <v>42328</v>
      </c>
      <c r="AF2152" s="1">
        <v>10019</v>
      </c>
      <c r="AI2152" s="1" t="s">
        <v>76</v>
      </c>
      <c r="AJ2152" s="1">
        <v>2017</v>
      </c>
      <c r="AK2152" s="1" t="s">
        <v>50</v>
      </c>
      <c r="AL2152" s="1">
        <v>248</v>
      </c>
    </row>
    <row r="2153" spans="1:38" x14ac:dyDescent="0.2">
      <c r="A2153" s="2" t="str">
        <f>HYPERLINK("https://www.compass.com/listing/301-west-53rd-street-unit-25e-manhattan-ny-10019/29388190980783345/","301 W 53rd St, Unit 25E")</f>
        <v>301 W 53rd St, Unit 25E</v>
      </c>
      <c r="B2153" s="2" t="str">
        <f t="shared" si="364"/>
        <v>Fifty Third and Eighth</v>
      </c>
      <c r="C2153" s="1" t="s">
        <v>57</v>
      </c>
      <c r="D2153" s="1" t="s">
        <v>41</v>
      </c>
      <c r="E2153" s="3">
        <v>2074901</v>
      </c>
      <c r="F2153" s="1">
        <v>1997.01732435033</v>
      </c>
      <c r="G2153" s="1">
        <v>6</v>
      </c>
      <c r="H2153" s="1">
        <v>2</v>
      </c>
      <c r="I2153" s="1">
        <v>2</v>
      </c>
      <c r="J2153" s="1">
        <v>2</v>
      </c>
      <c r="M2153" s="4">
        <v>1039</v>
      </c>
      <c r="N2153" s="1">
        <v>947</v>
      </c>
      <c r="O2153" s="1">
        <v>2175</v>
      </c>
      <c r="P2153" s="1">
        <v>1228</v>
      </c>
      <c r="Q2153" s="1" t="s">
        <v>42</v>
      </c>
      <c r="S2153" s="1" t="s">
        <v>42</v>
      </c>
      <c r="T2153" s="1" t="s">
        <v>203</v>
      </c>
      <c r="V2153" s="5">
        <v>43654</v>
      </c>
      <c r="W2153" s="5">
        <v>42294</v>
      </c>
      <c r="X2153" s="1">
        <v>2075000</v>
      </c>
      <c r="Y2153" s="1">
        <v>2075000</v>
      </c>
      <c r="Z2153" s="5">
        <v>42294</v>
      </c>
      <c r="AA2153" s="1">
        <v>2074901</v>
      </c>
      <c r="AB2153" s="1" t="s">
        <v>1674</v>
      </c>
      <c r="AC2153" s="5">
        <v>42311</v>
      </c>
      <c r="AF2153" s="1">
        <v>10019</v>
      </c>
      <c r="AI2153" s="1" t="s">
        <v>153</v>
      </c>
      <c r="AJ2153" s="1">
        <v>2017</v>
      </c>
      <c r="AK2153" s="1" t="s">
        <v>50</v>
      </c>
      <c r="AL2153" s="1">
        <v>248</v>
      </c>
    </row>
    <row r="2154" spans="1:38" x14ac:dyDescent="0.2">
      <c r="A2154" s="2" t="str">
        <f>HYPERLINK("https://www.compass.com/listing/301-west-53rd-street-unit-25f-manhattan-ny-10019/29388191408658177/","301 W 53rd St, Unit 25F")</f>
        <v>301 W 53rd St, Unit 25F</v>
      </c>
      <c r="B2154" s="2" t="str">
        <f t="shared" si="364"/>
        <v>Fifty Third and Eighth</v>
      </c>
      <c r="C2154" s="1" t="s">
        <v>57</v>
      </c>
      <c r="D2154" s="1" t="s">
        <v>41</v>
      </c>
      <c r="E2154" s="3">
        <v>1997544</v>
      </c>
      <c r="F2154" s="1">
        <v>1920.7153846153799</v>
      </c>
      <c r="G2154" s="1">
        <v>6</v>
      </c>
      <c r="H2154" s="1">
        <v>2</v>
      </c>
      <c r="I2154" s="1">
        <v>2</v>
      </c>
      <c r="J2154" s="1">
        <v>2</v>
      </c>
      <c r="M2154" s="4">
        <v>1040</v>
      </c>
      <c r="N2154" s="1">
        <v>948</v>
      </c>
      <c r="O2154" s="1">
        <v>2177</v>
      </c>
      <c r="P2154" s="1">
        <v>1229</v>
      </c>
      <c r="Q2154" s="1" t="s">
        <v>42</v>
      </c>
      <c r="S2154" s="1" t="s">
        <v>42</v>
      </c>
      <c r="T2154" s="1" t="s">
        <v>203</v>
      </c>
      <c r="V2154" s="5">
        <v>43654</v>
      </c>
      <c r="W2154" s="5">
        <v>42294</v>
      </c>
      <c r="X2154" s="1">
        <v>2005000</v>
      </c>
      <c r="Y2154" s="1">
        <v>2005000</v>
      </c>
      <c r="Z2154" s="5">
        <v>42294</v>
      </c>
      <c r="AA2154" s="1">
        <v>1997544</v>
      </c>
      <c r="AB2154" s="1" t="s">
        <v>1675</v>
      </c>
      <c r="AC2154" s="5">
        <v>42314</v>
      </c>
      <c r="AF2154" s="1">
        <v>10019</v>
      </c>
      <c r="AI2154" s="1" t="s">
        <v>76</v>
      </c>
      <c r="AJ2154" s="1">
        <v>2017</v>
      </c>
      <c r="AK2154" s="1" t="s">
        <v>50</v>
      </c>
      <c r="AL2154" s="1">
        <v>248</v>
      </c>
    </row>
    <row r="2155" spans="1:38" x14ac:dyDescent="0.2">
      <c r="A2155" s="2" t="str">
        <f>HYPERLINK("https://www.compass.com/listing/775-riverside-drive-unit-1h-manhattan-ny-10032/29435469620134753/","775 Riverside Dr, Unit 1H")</f>
        <v>775 Riverside Dr, Unit 1H</v>
      </c>
      <c r="B2155" s="2" t="str">
        <f t="shared" ref="B2155:B2156" si="365">HYPERLINK("https://www.compass.com/building/775-riverside-dr-manhattan-ny-10032/294837409665591813/","775 Riverside Dr")</f>
        <v>775 Riverside Dr</v>
      </c>
      <c r="C2155" s="1" t="s">
        <v>164</v>
      </c>
      <c r="D2155" s="1" t="s">
        <v>41</v>
      </c>
      <c r="E2155" s="3">
        <v>492804</v>
      </c>
      <c r="F2155" s="1">
        <v>558.10192525481295</v>
      </c>
      <c r="G2155" s="1">
        <v>3.5</v>
      </c>
      <c r="H2155" s="1">
        <v>1</v>
      </c>
      <c r="I2155" s="1">
        <v>1</v>
      </c>
      <c r="J2155" s="1">
        <v>1</v>
      </c>
      <c r="M2155" s="1">
        <v>883</v>
      </c>
      <c r="N2155" s="1">
        <v>527</v>
      </c>
      <c r="O2155" s="1">
        <v>671</v>
      </c>
      <c r="P2155" s="1">
        <v>144</v>
      </c>
      <c r="Q2155" s="1" t="s">
        <v>42</v>
      </c>
      <c r="S2155" s="1" t="s">
        <v>42</v>
      </c>
      <c r="T2155" s="1" t="s">
        <v>203</v>
      </c>
      <c r="U2155" s="1">
        <v>33</v>
      </c>
      <c r="V2155" s="5">
        <v>43678</v>
      </c>
      <c r="W2155" s="5">
        <v>42092</v>
      </c>
      <c r="X2155" s="1">
        <v>486000</v>
      </c>
      <c r="Y2155" s="1">
        <v>486000</v>
      </c>
      <c r="Z2155" s="5">
        <v>42125</v>
      </c>
      <c r="AA2155" s="1">
        <v>492804</v>
      </c>
      <c r="AB2155" s="1" t="s">
        <v>1676</v>
      </c>
      <c r="AC2155" s="5">
        <v>42402</v>
      </c>
      <c r="AF2155" s="1">
        <v>10032</v>
      </c>
      <c r="AJ2155" s="1">
        <v>1931</v>
      </c>
    </row>
    <row r="2156" spans="1:38" x14ac:dyDescent="0.2">
      <c r="A2156" s="2" t="str">
        <f>HYPERLINK("https://www.compass.com/listing/775-riverside-drive-unit-2c-manhattan-ny-10032/29435470828094321/","775 Riverside Dr, Unit 2C")</f>
        <v>775 Riverside Dr, Unit 2C</v>
      </c>
      <c r="B2156" s="2" t="str">
        <f t="shared" si="365"/>
        <v>775 Riverside Dr</v>
      </c>
      <c r="C2156" s="1" t="s">
        <v>164</v>
      </c>
      <c r="D2156" s="1" t="s">
        <v>41</v>
      </c>
      <c r="E2156" s="3">
        <v>526435</v>
      </c>
      <c r="F2156" s="1">
        <v>601.64</v>
      </c>
      <c r="G2156" s="1">
        <v>3.5</v>
      </c>
      <c r="H2156" s="1">
        <v>1</v>
      </c>
      <c r="I2156" s="1">
        <v>1</v>
      </c>
      <c r="J2156" s="1">
        <v>1</v>
      </c>
      <c r="M2156" s="1">
        <v>875</v>
      </c>
      <c r="N2156" s="1">
        <v>566</v>
      </c>
      <c r="O2156" s="1">
        <v>720</v>
      </c>
      <c r="P2156" s="1">
        <v>154</v>
      </c>
      <c r="Q2156" s="1" t="s">
        <v>42</v>
      </c>
      <c r="S2156" s="1" t="s">
        <v>42</v>
      </c>
      <c r="T2156" s="1" t="s">
        <v>203</v>
      </c>
      <c r="U2156" s="1">
        <v>65</v>
      </c>
      <c r="V2156" s="5">
        <v>43680</v>
      </c>
      <c r="W2156" s="5">
        <v>42092</v>
      </c>
      <c r="X2156" s="1">
        <v>522000</v>
      </c>
      <c r="Y2156" s="1">
        <v>522000</v>
      </c>
      <c r="Z2156" s="5">
        <v>42157</v>
      </c>
      <c r="AA2156" s="1">
        <v>526435</v>
      </c>
      <c r="AB2156" s="1" t="s">
        <v>1677</v>
      </c>
      <c r="AC2156" s="5">
        <v>42430</v>
      </c>
      <c r="AF2156" s="1">
        <v>10032</v>
      </c>
      <c r="AJ2156" s="1">
        <v>1931</v>
      </c>
    </row>
    <row r="2157" spans="1:38" x14ac:dyDescent="0.2">
      <c r="A2157" s="2" t="str">
        <f>HYPERLINK("https://www.compass.com/listing/301-west-53rd-street-unit-2k-manhattan-ny-10019/29388104116809969/","301 W 53rd St, Unit 2K")</f>
        <v>301 W 53rd St, Unit 2K</v>
      </c>
      <c r="B2157" s="2" t="str">
        <f t="shared" ref="B2157:B2171" si="366">HYPERLINK("https://www.compass.com/building/fifty-third-and-eighth-manhattan-ny/281944545158031557/","Fifty Third and Eighth")</f>
        <v>Fifty Third and Eighth</v>
      </c>
      <c r="C2157" s="1" t="s">
        <v>57</v>
      </c>
      <c r="D2157" s="1" t="s">
        <v>41</v>
      </c>
      <c r="E2157" s="3">
        <v>1932626</v>
      </c>
      <c r="F2157" s="1">
        <v>1858.2942307692299</v>
      </c>
      <c r="G2157" s="1">
        <v>6</v>
      </c>
      <c r="H2157" s="1">
        <v>2</v>
      </c>
      <c r="I2157" s="1">
        <v>2</v>
      </c>
      <c r="J2157" s="1">
        <v>2</v>
      </c>
      <c r="M2157" s="4">
        <v>1040</v>
      </c>
      <c r="N2157" s="1">
        <v>936</v>
      </c>
      <c r="O2157" s="1">
        <v>2629</v>
      </c>
      <c r="P2157" s="1">
        <v>1693</v>
      </c>
      <c r="Q2157" s="1" t="s">
        <v>42</v>
      </c>
      <c r="S2157" s="1" t="s">
        <v>42</v>
      </c>
      <c r="T2157" s="1" t="s">
        <v>203</v>
      </c>
      <c r="V2157" s="5">
        <v>43662</v>
      </c>
      <c r="W2157" s="5">
        <v>42850</v>
      </c>
      <c r="X2157" s="1">
        <v>2050000</v>
      </c>
      <c r="Y2157" s="1">
        <v>2050000</v>
      </c>
      <c r="Z2157" s="5">
        <v>42850</v>
      </c>
      <c r="AA2157" s="1">
        <v>1932626</v>
      </c>
      <c r="AB2157" s="1" t="s">
        <v>1678</v>
      </c>
      <c r="AC2157" s="5">
        <v>42941</v>
      </c>
      <c r="AF2157" s="1">
        <v>10019</v>
      </c>
      <c r="AI2157" s="1" t="s">
        <v>192</v>
      </c>
      <c r="AJ2157" s="1">
        <v>2017</v>
      </c>
      <c r="AK2157" s="1" t="s">
        <v>50</v>
      </c>
      <c r="AL2157" s="1">
        <v>248</v>
      </c>
    </row>
    <row r="2158" spans="1:38" x14ac:dyDescent="0.2">
      <c r="A2158" s="2" t="str">
        <f>HYPERLINK("https://www.compass.com/listing/301-west-53rd-street-unit-5e-manhattan-ny-10019/29388112715133297/","301 W 53rd St, Unit 5E")</f>
        <v>301 W 53rd St, Unit 5E</v>
      </c>
      <c r="B2158" s="2" t="str">
        <f t="shared" si="366"/>
        <v>Fifty Third and Eighth</v>
      </c>
      <c r="C2158" s="1" t="s">
        <v>57</v>
      </c>
      <c r="D2158" s="1" t="s">
        <v>41</v>
      </c>
      <c r="E2158" s="3">
        <v>1837662</v>
      </c>
      <c r="F2158" s="1">
        <v>1768.68334937439</v>
      </c>
      <c r="G2158" s="1">
        <v>4</v>
      </c>
      <c r="H2158" s="1">
        <v>2</v>
      </c>
      <c r="I2158" s="1">
        <v>2</v>
      </c>
      <c r="J2158" s="1">
        <v>2</v>
      </c>
      <c r="M2158" s="4">
        <v>1039</v>
      </c>
      <c r="N2158" s="1">
        <v>842</v>
      </c>
      <c r="O2158" s="1">
        <v>2338</v>
      </c>
      <c r="P2158" s="1">
        <v>1496</v>
      </c>
      <c r="Q2158" s="1" t="s">
        <v>42</v>
      </c>
      <c r="S2158" s="1" t="s">
        <v>42</v>
      </c>
      <c r="T2158" s="1" t="s">
        <v>203</v>
      </c>
      <c r="V2158" s="5">
        <v>43650</v>
      </c>
      <c r="W2158" s="5">
        <v>42712</v>
      </c>
      <c r="X2158" s="1">
        <v>1880000</v>
      </c>
      <c r="Y2158" s="1">
        <v>1880000</v>
      </c>
      <c r="Z2158" s="5">
        <v>42712</v>
      </c>
      <c r="AA2158" s="1">
        <v>1837662</v>
      </c>
      <c r="AB2158" s="1" t="s">
        <v>1679</v>
      </c>
      <c r="AC2158" s="5">
        <v>42963</v>
      </c>
      <c r="AF2158" s="1">
        <v>10019</v>
      </c>
      <c r="AI2158" s="1" t="s">
        <v>76</v>
      </c>
      <c r="AJ2158" s="1">
        <v>2017</v>
      </c>
      <c r="AK2158" s="1" t="s">
        <v>81</v>
      </c>
      <c r="AL2158" s="1">
        <v>248</v>
      </c>
    </row>
    <row r="2159" spans="1:38" x14ac:dyDescent="0.2">
      <c r="A2159" s="2" t="str">
        <f>HYPERLINK("https://www.compass.com/listing/301-west-53rd-street-unit-6a-manhattan-ny-10019/29388115734968001/","301 W 53rd St, Unit 6A")</f>
        <v>301 W 53rd St, Unit 6A</v>
      </c>
      <c r="B2159" s="2" t="str">
        <f t="shared" si="366"/>
        <v>Fifty Third and Eighth</v>
      </c>
      <c r="C2159" s="1" t="s">
        <v>57</v>
      </c>
      <c r="D2159" s="1" t="s">
        <v>41</v>
      </c>
      <c r="E2159" s="3">
        <v>1841895</v>
      </c>
      <c r="F2159" s="1">
        <v>1772.75745909528</v>
      </c>
      <c r="G2159" s="1">
        <v>4</v>
      </c>
      <c r="H2159" s="1">
        <v>2</v>
      </c>
      <c r="I2159" s="1">
        <v>2</v>
      </c>
      <c r="J2159" s="1">
        <v>2</v>
      </c>
      <c r="M2159" s="4">
        <v>1039</v>
      </c>
      <c r="N2159" s="1">
        <v>866</v>
      </c>
      <c r="O2159" s="1">
        <v>1989</v>
      </c>
      <c r="P2159" s="1">
        <v>1123</v>
      </c>
      <c r="Q2159" s="1" t="s">
        <v>42</v>
      </c>
      <c r="S2159" s="1" t="s">
        <v>42</v>
      </c>
      <c r="T2159" s="1" t="s">
        <v>203</v>
      </c>
      <c r="V2159" s="5">
        <v>43673</v>
      </c>
      <c r="W2159" s="5">
        <v>42586</v>
      </c>
      <c r="X2159" s="1">
        <v>1835000</v>
      </c>
      <c r="Y2159" s="1">
        <v>1835000</v>
      </c>
      <c r="Z2159" s="5">
        <v>42586</v>
      </c>
      <c r="AA2159" s="1">
        <v>1841895</v>
      </c>
      <c r="AB2159" s="1" t="s">
        <v>1680</v>
      </c>
      <c r="AC2159" s="5">
        <v>42605</v>
      </c>
      <c r="AF2159" s="1">
        <v>10019</v>
      </c>
      <c r="AI2159" s="1" t="s">
        <v>76</v>
      </c>
      <c r="AJ2159" s="1">
        <v>2017</v>
      </c>
      <c r="AK2159" s="1" t="s">
        <v>50</v>
      </c>
      <c r="AL2159" s="1">
        <v>248</v>
      </c>
    </row>
    <row r="2160" spans="1:38" x14ac:dyDescent="0.2">
      <c r="A2160" s="2" t="str">
        <f>HYPERLINK("https://www.compass.com/listing/301-west-53rd-street-unit-8e-manhattan-ny-10019/29388126128509457/","301 W 53rd St, Unit 8E")</f>
        <v>301 W 53rd St, Unit 8E</v>
      </c>
      <c r="B2160" s="2" t="str">
        <f t="shared" si="366"/>
        <v>Fifty Third and Eighth</v>
      </c>
      <c r="C2160" s="1" t="s">
        <v>57</v>
      </c>
      <c r="D2160" s="1" t="s">
        <v>41</v>
      </c>
      <c r="E2160" s="3">
        <v>1906962</v>
      </c>
      <c r="F2160" s="1">
        <v>1835.38209817131</v>
      </c>
      <c r="G2160" s="1">
        <v>5</v>
      </c>
      <c r="H2160" s="1">
        <v>2</v>
      </c>
      <c r="I2160" s="1">
        <v>2</v>
      </c>
      <c r="J2160" s="1">
        <v>2</v>
      </c>
      <c r="M2160" s="4">
        <v>1039</v>
      </c>
      <c r="N2160" s="1">
        <v>854</v>
      </c>
      <c r="O2160" s="1">
        <v>2400</v>
      </c>
      <c r="P2160" s="1">
        <v>1546</v>
      </c>
      <c r="Q2160" s="1" t="s">
        <v>42</v>
      </c>
      <c r="S2160" s="1" t="s">
        <v>42</v>
      </c>
      <c r="T2160" s="1" t="s">
        <v>203</v>
      </c>
      <c r="V2160" s="5">
        <v>43664</v>
      </c>
      <c r="W2160" s="5">
        <v>42908</v>
      </c>
      <c r="X2160" s="1">
        <v>1925000</v>
      </c>
      <c r="Y2160" s="1">
        <v>1925000</v>
      </c>
      <c r="Z2160" s="5">
        <v>42908</v>
      </c>
      <c r="AA2160" s="1">
        <v>1906962</v>
      </c>
      <c r="AB2160" s="1" t="s">
        <v>1681</v>
      </c>
      <c r="AC2160" s="5">
        <v>42927</v>
      </c>
      <c r="AF2160" s="1">
        <v>10019</v>
      </c>
      <c r="AI2160" s="1" t="s">
        <v>76</v>
      </c>
      <c r="AJ2160" s="1">
        <v>2017</v>
      </c>
      <c r="AK2160" s="1" t="s">
        <v>50</v>
      </c>
      <c r="AL2160" s="1">
        <v>248</v>
      </c>
    </row>
    <row r="2161" spans="1:38" x14ac:dyDescent="0.2">
      <c r="A2161" s="2" t="str">
        <f>HYPERLINK("https://www.compass.com/listing/301-west-53rd-street-unit-13e-manhattan-ny-10019/29388146806428577/","301 W 53rd St, Unit 13E")</f>
        <v>301 W 53rd St, Unit 13E</v>
      </c>
      <c r="B2161" s="2" t="str">
        <f t="shared" si="366"/>
        <v>Fifty Third and Eighth</v>
      </c>
      <c r="C2161" s="1" t="s">
        <v>57</v>
      </c>
      <c r="D2161" s="1" t="s">
        <v>41</v>
      </c>
      <c r="E2161" s="3">
        <v>1857133</v>
      </c>
      <c r="F2161" s="1">
        <v>1787.4234841193399</v>
      </c>
      <c r="G2161" s="1">
        <v>6</v>
      </c>
      <c r="H2161" s="1">
        <v>2</v>
      </c>
      <c r="I2161" s="1">
        <v>2</v>
      </c>
      <c r="J2161" s="1">
        <v>2</v>
      </c>
      <c r="K2161" s="1">
        <v>2</v>
      </c>
      <c r="M2161" s="4">
        <v>1039</v>
      </c>
      <c r="N2161" s="1">
        <v>896</v>
      </c>
      <c r="O2161" s="1">
        <v>2057</v>
      </c>
      <c r="P2161" s="1">
        <v>1161</v>
      </c>
      <c r="Q2161" s="1" t="s">
        <v>42</v>
      </c>
      <c r="S2161" s="1" t="s">
        <v>42</v>
      </c>
      <c r="T2161" s="1" t="s">
        <v>203</v>
      </c>
      <c r="V2161" s="5">
        <v>44225</v>
      </c>
      <c r="W2161" s="5">
        <v>42307</v>
      </c>
      <c r="X2161" s="1">
        <v>1850000</v>
      </c>
      <c r="Y2161" s="1">
        <v>1850000</v>
      </c>
      <c r="Z2161" s="5">
        <v>42307</v>
      </c>
      <c r="AA2161" s="1">
        <v>1857133</v>
      </c>
      <c r="AB2161" s="1" t="s">
        <v>1682</v>
      </c>
      <c r="AC2161" s="5">
        <v>42343</v>
      </c>
      <c r="AF2161" s="1">
        <v>10019</v>
      </c>
      <c r="AI2161" s="1" t="s">
        <v>76</v>
      </c>
      <c r="AJ2161" s="1">
        <v>2017</v>
      </c>
      <c r="AK2161" s="1" t="s">
        <v>50</v>
      </c>
      <c r="AL2161" s="1">
        <v>248</v>
      </c>
    </row>
    <row r="2162" spans="1:38" x14ac:dyDescent="0.2">
      <c r="A2162" s="2" t="str">
        <f>HYPERLINK("https://www.compass.com/listing/301-west-53rd-street-unit-15e-manhattan-ny-10019/29388154523892305/","301 W 53rd St, Unit 15E")</f>
        <v>301 W 53rd St, Unit 15E</v>
      </c>
      <c r="B2162" s="2" t="str">
        <f t="shared" si="366"/>
        <v>Fifty Third and Eighth</v>
      </c>
      <c r="C2162" s="1" t="s">
        <v>57</v>
      </c>
      <c r="D2162" s="1" t="s">
        <v>41</v>
      </c>
      <c r="E2162" s="3">
        <v>1891510</v>
      </c>
      <c r="F2162" s="1">
        <v>1820.5102213666901</v>
      </c>
      <c r="G2162" s="1">
        <v>4</v>
      </c>
      <c r="H2162" s="1">
        <v>2</v>
      </c>
      <c r="I2162" s="1">
        <v>2</v>
      </c>
      <c r="J2162" s="1">
        <v>2</v>
      </c>
      <c r="M2162" s="4">
        <v>1039</v>
      </c>
      <c r="N2162" s="1">
        <v>904</v>
      </c>
      <c r="O2162" s="1">
        <v>2076</v>
      </c>
      <c r="P2162" s="1">
        <v>1172</v>
      </c>
      <c r="Q2162" s="1" t="s">
        <v>42</v>
      </c>
      <c r="S2162" s="1" t="s">
        <v>42</v>
      </c>
      <c r="T2162" s="1" t="s">
        <v>203</v>
      </c>
      <c r="U2162" s="1">
        <v>276</v>
      </c>
      <c r="V2162" s="5">
        <v>42314</v>
      </c>
      <c r="W2162" s="5">
        <v>42013</v>
      </c>
      <c r="X2162" s="1">
        <v>1880000</v>
      </c>
      <c r="Y2162" s="1">
        <v>1880000</v>
      </c>
      <c r="Z2162" s="5">
        <v>42292</v>
      </c>
      <c r="AA2162" s="1">
        <v>1891510.12</v>
      </c>
      <c r="AB2162" s="1" t="s">
        <v>1683</v>
      </c>
      <c r="AC2162" s="5">
        <v>42290</v>
      </c>
      <c r="AF2162" s="1">
        <v>10019</v>
      </c>
      <c r="AI2162" s="1" t="s">
        <v>76</v>
      </c>
      <c r="AJ2162" s="1">
        <v>2017</v>
      </c>
      <c r="AK2162" s="1" t="s">
        <v>50</v>
      </c>
      <c r="AL2162" s="1">
        <v>248</v>
      </c>
    </row>
    <row r="2163" spans="1:38" x14ac:dyDescent="0.2">
      <c r="A2163" s="2" t="str">
        <f>HYPERLINK("https://www.compass.com/listing/301-west-53rd-street-unit-18f-manhattan-ny-10019/29388167442412849/","301 W 53rd St, Unit 18F")</f>
        <v>301 W 53rd St, Unit 18F</v>
      </c>
      <c r="B2163" s="2" t="str">
        <f t="shared" si="366"/>
        <v>Fifty Third and Eighth</v>
      </c>
      <c r="C2163" s="1" t="s">
        <v>57</v>
      </c>
      <c r="D2163" s="1" t="s">
        <v>41</v>
      </c>
      <c r="E2163" s="3">
        <v>1903107</v>
      </c>
      <c r="F2163" s="1">
        <v>1829.91057692307</v>
      </c>
      <c r="G2163" s="1">
        <v>6</v>
      </c>
      <c r="H2163" s="1">
        <v>2</v>
      </c>
      <c r="I2163" s="1">
        <v>2</v>
      </c>
      <c r="J2163" s="1">
        <v>2</v>
      </c>
      <c r="M2163" s="4">
        <v>1040</v>
      </c>
      <c r="N2163" s="1">
        <v>897</v>
      </c>
      <c r="O2163" s="1">
        <v>2520</v>
      </c>
      <c r="P2163" s="1">
        <v>1623</v>
      </c>
      <c r="Q2163" s="1" t="s">
        <v>42</v>
      </c>
      <c r="S2163" s="1" t="s">
        <v>42</v>
      </c>
      <c r="T2163" s="1" t="s">
        <v>203</v>
      </c>
      <c r="V2163" s="5">
        <v>43664</v>
      </c>
      <c r="W2163" s="5">
        <v>42670</v>
      </c>
      <c r="X2163" s="1">
        <v>1900000</v>
      </c>
      <c r="Y2163" s="1">
        <v>1900000</v>
      </c>
      <c r="Z2163" s="5">
        <v>42670</v>
      </c>
      <c r="AA2163" s="1">
        <v>1903107</v>
      </c>
      <c r="AB2163" s="1" t="s">
        <v>1684</v>
      </c>
      <c r="AC2163" s="5">
        <v>42692</v>
      </c>
      <c r="AF2163" s="1">
        <v>10019</v>
      </c>
      <c r="AI2163" s="1" t="s">
        <v>76</v>
      </c>
      <c r="AJ2163" s="1">
        <v>2017</v>
      </c>
      <c r="AK2163" s="1" t="s">
        <v>81</v>
      </c>
      <c r="AL2163" s="1">
        <v>248</v>
      </c>
    </row>
    <row r="2164" spans="1:38" x14ac:dyDescent="0.2">
      <c r="A2164" s="2" t="str">
        <f>HYPERLINK("https://www.compass.com/listing/301-west-53rd-street-unit-19f-manhattan-ny-10019/29388171250840945/","301 W 53rd St, Unit 19F")</f>
        <v>301 W 53rd St, Unit 19F</v>
      </c>
      <c r="B2164" s="2" t="str">
        <f t="shared" si="366"/>
        <v>Fifty Third and Eighth</v>
      </c>
      <c r="C2164" s="1" t="s">
        <v>57</v>
      </c>
      <c r="D2164" s="1" t="s">
        <v>41</v>
      </c>
      <c r="E2164" s="3">
        <v>1945408</v>
      </c>
      <c r="F2164" s="1">
        <v>1870.5846153846101</v>
      </c>
      <c r="G2164" s="1">
        <v>4</v>
      </c>
      <c r="H2164" s="1">
        <v>2</v>
      </c>
      <c r="I2164" s="1">
        <v>2</v>
      </c>
      <c r="J2164" s="1">
        <v>2</v>
      </c>
      <c r="M2164" s="4">
        <v>1040</v>
      </c>
      <c r="N2164" s="1">
        <v>901</v>
      </c>
      <c r="O2164" s="1">
        <v>2531</v>
      </c>
      <c r="P2164" s="1">
        <v>1630</v>
      </c>
      <c r="Q2164" s="1" t="s">
        <v>42</v>
      </c>
      <c r="S2164" s="1" t="s">
        <v>42</v>
      </c>
      <c r="T2164" s="1" t="s">
        <v>203</v>
      </c>
      <c r="V2164" s="5">
        <v>43664</v>
      </c>
      <c r="W2164" s="5">
        <v>42726</v>
      </c>
      <c r="X2164" s="1">
        <v>1915000</v>
      </c>
      <c r="Y2164" s="1">
        <v>1915000</v>
      </c>
      <c r="Z2164" s="5">
        <v>42726</v>
      </c>
      <c r="AA2164" s="1">
        <v>1945408</v>
      </c>
      <c r="AB2164" s="1" t="s">
        <v>1685</v>
      </c>
      <c r="AC2164" s="5">
        <v>42753</v>
      </c>
      <c r="AF2164" s="1">
        <v>10019</v>
      </c>
      <c r="AI2164" s="1" t="s">
        <v>76</v>
      </c>
      <c r="AJ2164" s="1">
        <v>2017</v>
      </c>
      <c r="AK2164" s="1" t="s">
        <v>81</v>
      </c>
      <c r="AL2164" s="1">
        <v>248</v>
      </c>
    </row>
    <row r="2165" spans="1:38" x14ac:dyDescent="0.2">
      <c r="A2165" s="2" t="str">
        <f>HYPERLINK("https://www.compass.com/listing/301-west-53rd-street-unit-19k-manhattan-ny-10019/29388172685292929/","301 W 53rd St, Unit 19K")</f>
        <v>301 W 53rd St, Unit 19K</v>
      </c>
      <c r="B2165" s="2" t="str">
        <f t="shared" si="366"/>
        <v>Fifty Third and Eighth</v>
      </c>
      <c r="C2165" s="1" t="s">
        <v>57</v>
      </c>
      <c r="D2165" s="1" t="s">
        <v>41</v>
      </c>
      <c r="E2165" s="3">
        <v>2036488</v>
      </c>
      <c r="F2165" s="1">
        <v>1958.16153846153</v>
      </c>
      <c r="G2165" s="1">
        <v>4</v>
      </c>
      <c r="H2165" s="1">
        <v>2</v>
      </c>
      <c r="I2165" s="1">
        <v>2</v>
      </c>
      <c r="J2165" s="1">
        <v>2</v>
      </c>
      <c r="M2165" s="4">
        <v>1040</v>
      </c>
      <c r="N2165" s="1">
        <v>901</v>
      </c>
      <c r="O2165" s="1">
        <v>2531</v>
      </c>
      <c r="P2165" s="1">
        <v>1630</v>
      </c>
      <c r="Q2165" s="1" t="s">
        <v>42</v>
      </c>
      <c r="S2165" s="1" t="s">
        <v>42</v>
      </c>
      <c r="T2165" s="1" t="s">
        <v>203</v>
      </c>
      <c r="V2165" s="5">
        <v>43668</v>
      </c>
      <c r="W2165" s="5">
        <v>42726</v>
      </c>
      <c r="X2165" s="1">
        <v>2015000</v>
      </c>
      <c r="Y2165" s="1">
        <v>2015000</v>
      </c>
      <c r="Z2165" s="5">
        <v>42726</v>
      </c>
      <c r="AA2165" s="1">
        <v>2036488</v>
      </c>
      <c r="AB2165" s="1" t="s">
        <v>1686</v>
      </c>
      <c r="AC2165" s="5">
        <v>42753</v>
      </c>
      <c r="AF2165" s="1">
        <v>10019</v>
      </c>
      <c r="AI2165" s="1" t="s">
        <v>76</v>
      </c>
      <c r="AJ2165" s="1">
        <v>2017</v>
      </c>
      <c r="AK2165" s="1" t="s">
        <v>81</v>
      </c>
      <c r="AL2165" s="1">
        <v>248</v>
      </c>
    </row>
    <row r="2166" spans="1:38" x14ac:dyDescent="0.2">
      <c r="A2166" s="2" t="str">
        <f>HYPERLINK("https://www.compass.com/listing/301-west-53rd-street-unit-21f-manhattan-ny-10019/29388176736982529/","301 W 53rd St, Unit 21F")</f>
        <v>301 W 53rd St, Unit 21F</v>
      </c>
      <c r="B2166" s="2" t="str">
        <f t="shared" si="366"/>
        <v>Fifty Third and Eighth</v>
      </c>
      <c r="C2166" s="1" t="s">
        <v>57</v>
      </c>
      <c r="D2166" s="1" t="s">
        <v>41</v>
      </c>
      <c r="E2166" s="3">
        <v>1952409</v>
      </c>
      <c r="F2166" s="1">
        <v>1877.3164999999999</v>
      </c>
      <c r="G2166" s="1">
        <v>6</v>
      </c>
      <c r="H2166" s="1">
        <v>2</v>
      </c>
      <c r="I2166" s="1">
        <v>2</v>
      </c>
      <c r="J2166" s="1">
        <v>2</v>
      </c>
      <c r="M2166" s="4">
        <v>1040</v>
      </c>
      <c r="N2166" s="1">
        <v>931</v>
      </c>
      <c r="O2166" s="1">
        <v>2138</v>
      </c>
      <c r="P2166" s="1">
        <v>1207</v>
      </c>
      <c r="Q2166" s="1" t="s">
        <v>42</v>
      </c>
      <c r="S2166" s="1" t="s">
        <v>42</v>
      </c>
      <c r="T2166" s="1" t="s">
        <v>203</v>
      </c>
      <c r="U2166" s="1">
        <v>461</v>
      </c>
      <c r="V2166" s="5">
        <v>42978</v>
      </c>
      <c r="W2166" s="5">
        <v>42013</v>
      </c>
      <c r="X2166" s="1">
        <v>1945000</v>
      </c>
      <c r="Y2166" s="1">
        <v>1945000</v>
      </c>
      <c r="AA2166" s="1">
        <v>1952409.16</v>
      </c>
      <c r="AB2166" s="1" t="s">
        <v>1687</v>
      </c>
      <c r="AC2166" s="5">
        <v>42475</v>
      </c>
      <c r="AF2166" s="1">
        <v>10019</v>
      </c>
      <c r="AI2166" s="1" t="s">
        <v>76</v>
      </c>
      <c r="AJ2166" s="1">
        <v>2017</v>
      </c>
      <c r="AK2166" s="1" t="s">
        <v>50</v>
      </c>
      <c r="AL2166" s="1">
        <v>248</v>
      </c>
    </row>
    <row r="2167" spans="1:38" x14ac:dyDescent="0.2">
      <c r="A2167" s="2" t="str">
        <f>HYPERLINK("https://www.compass.com/listing/301-west-53rd-street-unit-2f-manhattan-ny-10019/29388103336605073/","301 W 53rd St, Unit 2F")</f>
        <v>301 W 53rd St, Unit 2F</v>
      </c>
      <c r="B2167" s="2" t="str">
        <f t="shared" si="366"/>
        <v>Fifty Third and Eighth</v>
      </c>
      <c r="C2167" s="1" t="s">
        <v>57</v>
      </c>
      <c r="D2167" s="1" t="s">
        <v>41</v>
      </c>
      <c r="E2167" s="3">
        <v>1867626</v>
      </c>
      <c r="F2167" s="1">
        <v>1795.7942307692299</v>
      </c>
      <c r="G2167" s="1">
        <v>6</v>
      </c>
      <c r="H2167" s="1">
        <v>2</v>
      </c>
      <c r="I2167" s="1">
        <v>2</v>
      </c>
      <c r="J2167" s="1">
        <v>2</v>
      </c>
      <c r="K2167" s="1">
        <v>2</v>
      </c>
      <c r="M2167" s="4">
        <v>1040</v>
      </c>
      <c r="N2167" s="1">
        <v>936</v>
      </c>
      <c r="O2167" s="1">
        <v>2629</v>
      </c>
      <c r="P2167" s="1">
        <v>1693</v>
      </c>
      <c r="Q2167" s="1" t="s">
        <v>42</v>
      </c>
      <c r="S2167" s="1" t="s">
        <v>42</v>
      </c>
      <c r="T2167" s="1" t="s">
        <v>203</v>
      </c>
      <c r="U2167" s="1">
        <v>84</v>
      </c>
      <c r="V2167" s="5">
        <v>44339</v>
      </c>
      <c r="W2167" s="5">
        <v>42627</v>
      </c>
      <c r="X2167" s="1">
        <v>1870000</v>
      </c>
      <c r="Y2167" s="1">
        <v>1870000</v>
      </c>
      <c r="Z2167" s="5">
        <v>42711</v>
      </c>
      <c r="AA2167" s="1">
        <v>1867626</v>
      </c>
      <c r="AB2167" s="1" t="s">
        <v>1688</v>
      </c>
      <c r="AC2167" s="5">
        <v>42762</v>
      </c>
      <c r="AF2167" s="1">
        <v>10019</v>
      </c>
      <c r="AI2167" s="1" t="s">
        <v>192</v>
      </c>
      <c r="AJ2167" s="1">
        <v>2017</v>
      </c>
      <c r="AK2167" s="1" t="s">
        <v>81</v>
      </c>
      <c r="AL2167" s="1">
        <v>248</v>
      </c>
    </row>
    <row r="2168" spans="1:38" x14ac:dyDescent="0.2">
      <c r="A2168" s="2" t="str">
        <f>HYPERLINK("https://www.compass.com/listing/301-west-53rd-street-unit-22e-manhattan-ny-10019/29388180226587649/","301 W 53rd St, Unit 22E")</f>
        <v>301 W 53rd St, Unit 22E</v>
      </c>
      <c r="B2168" s="2" t="str">
        <f t="shared" si="366"/>
        <v>Fifty Third and Eighth</v>
      </c>
      <c r="C2168" s="1" t="s">
        <v>57</v>
      </c>
      <c r="D2168" s="1" t="s">
        <v>41</v>
      </c>
      <c r="E2168" s="3">
        <v>1992302</v>
      </c>
      <c r="F2168" s="1">
        <v>1917.51876804619</v>
      </c>
      <c r="G2168" s="1">
        <v>6</v>
      </c>
      <c r="H2168" s="1">
        <v>2</v>
      </c>
      <c r="I2168" s="1">
        <v>2</v>
      </c>
      <c r="J2168" s="1">
        <v>2</v>
      </c>
      <c r="K2168" s="1">
        <v>2</v>
      </c>
      <c r="M2168" s="4">
        <v>1039</v>
      </c>
      <c r="N2168" s="1">
        <v>903</v>
      </c>
      <c r="O2168" s="1">
        <v>2202</v>
      </c>
      <c r="P2168" s="1">
        <v>1299</v>
      </c>
      <c r="Q2168" s="1" t="s">
        <v>42</v>
      </c>
      <c r="S2168" s="1" t="s">
        <v>42</v>
      </c>
      <c r="T2168" s="1" t="s">
        <v>203</v>
      </c>
      <c r="V2168" s="5">
        <v>44225</v>
      </c>
      <c r="W2168" s="5">
        <v>42278</v>
      </c>
      <c r="X2168" s="1">
        <v>1985000</v>
      </c>
      <c r="Y2168" s="1">
        <v>1985000</v>
      </c>
      <c r="Z2168" s="5">
        <v>42278</v>
      </c>
      <c r="AA2168" s="1">
        <v>1992302</v>
      </c>
      <c r="AB2168" s="1" t="s">
        <v>204</v>
      </c>
      <c r="AC2168" s="5">
        <v>42278</v>
      </c>
      <c r="AF2168" s="1">
        <v>10019</v>
      </c>
      <c r="AI2168" s="1" t="s">
        <v>76</v>
      </c>
      <c r="AJ2168" s="1">
        <v>2017</v>
      </c>
      <c r="AK2168" s="1" t="s">
        <v>50</v>
      </c>
      <c r="AL2168" s="1">
        <v>248</v>
      </c>
    </row>
    <row r="2169" spans="1:38" x14ac:dyDescent="0.2">
      <c r="A2169" s="2" t="str">
        <f>HYPERLINK("https://www.compass.com/listing/301-west-53rd-street-unit-16b-manhattan-ny-10019/29388157292188753/","301 W 53rd St, Unit 16B")</f>
        <v>301 W 53rd St, Unit 16B</v>
      </c>
      <c r="B2169" s="2" t="str">
        <f t="shared" si="366"/>
        <v>Fifty Third and Eighth</v>
      </c>
      <c r="C2169" s="1" t="s">
        <v>57</v>
      </c>
      <c r="D2169" s="1" t="s">
        <v>41</v>
      </c>
      <c r="E2169" s="3">
        <v>1436182</v>
      </c>
      <c r="F2169" s="1">
        <v>1804.2490201005</v>
      </c>
      <c r="H2169" s="1">
        <v>2</v>
      </c>
      <c r="J2169" s="1">
        <v>1</v>
      </c>
      <c r="M2169" s="1">
        <v>796</v>
      </c>
      <c r="N2169" s="1">
        <v>696</v>
      </c>
      <c r="O2169" s="1">
        <v>1598</v>
      </c>
      <c r="P2169" s="1">
        <v>902</v>
      </c>
      <c r="Q2169" s="1" t="s">
        <v>42</v>
      </c>
      <c r="S2169" s="1" t="s">
        <v>42</v>
      </c>
      <c r="T2169" s="1" t="s">
        <v>203</v>
      </c>
      <c r="AA2169" s="1">
        <v>1436182.22</v>
      </c>
      <c r="AB2169" s="1" t="s">
        <v>1689</v>
      </c>
      <c r="AC2169" s="5">
        <v>42256</v>
      </c>
      <c r="AF2169" s="1">
        <v>10019</v>
      </c>
      <c r="AI2169" s="1" t="s">
        <v>76</v>
      </c>
      <c r="AJ2169" s="1">
        <v>2017</v>
      </c>
      <c r="AK2169" s="1" t="s">
        <v>50</v>
      </c>
      <c r="AL2169" s="1">
        <v>248</v>
      </c>
    </row>
    <row r="2170" spans="1:38" x14ac:dyDescent="0.2">
      <c r="A2170" s="2" t="str">
        <f>HYPERLINK("https://www.compass.com/listing/301-west-53rd-street-unit-17b-manhattan-ny-10019/29388162291799265/","301 W 53rd St, Unit 17B")</f>
        <v>301 W 53rd St, Unit 17B</v>
      </c>
      <c r="B2170" s="2" t="str">
        <f t="shared" si="366"/>
        <v>Fifty Third and Eighth</v>
      </c>
      <c r="C2170" s="1" t="s">
        <v>57</v>
      </c>
      <c r="D2170" s="1" t="s">
        <v>41</v>
      </c>
      <c r="E2170" s="3">
        <v>1446391</v>
      </c>
      <c r="F2170" s="1">
        <v>1817.0735050251201</v>
      </c>
      <c r="H2170" s="1">
        <v>2</v>
      </c>
      <c r="J2170" s="1">
        <v>1</v>
      </c>
      <c r="K2170" s="1">
        <v>1</v>
      </c>
      <c r="M2170" s="1">
        <v>796</v>
      </c>
      <c r="N2170" s="1">
        <v>682</v>
      </c>
      <c r="O2170" s="1">
        <v>1919</v>
      </c>
      <c r="P2170" s="1">
        <v>1237</v>
      </c>
      <c r="Q2170" s="1" t="s">
        <v>42</v>
      </c>
      <c r="S2170" s="1" t="s">
        <v>42</v>
      </c>
      <c r="T2170" s="1" t="s">
        <v>203</v>
      </c>
      <c r="AA2170" s="1">
        <v>1446390.51</v>
      </c>
      <c r="AB2170" s="1" t="s">
        <v>1690</v>
      </c>
      <c r="AC2170" s="5">
        <v>42276</v>
      </c>
      <c r="AF2170" s="1">
        <v>10019</v>
      </c>
      <c r="AI2170" s="1" t="s">
        <v>76</v>
      </c>
      <c r="AJ2170" s="1">
        <v>2017</v>
      </c>
      <c r="AK2170" s="1" t="s">
        <v>50</v>
      </c>
      <c r="AL2170" s="1">
        <v>248</v>
      </c>
    </row>
    <row r="2171" spans="1:38" x14ac:dyDescent="0.2">
      <c r="A2171" s="2" t="str">
        <f>HYPERLINK("https://www.compass.com/listing/301-west-53rd-street-unit-18b-manhattan-ny-10019/841256337728325169/","301 W 53rd St, Unit 18B")</f>
        <v>301 W 53rd St, Unit 18B</v>
      </c>
      <c r="B2171" s="2" t="str">
        <f t="shared" si="366"/>
        <v>Fifty Third and Eighth</v>
      </c>
      <c r="C2171" s="1" t="s">
        <v>57</v>
      </c>
      <c r="D2171" s="1" t="s">
        <v>41</v>
      </c>
      <c r="E2171" s="3">
        <v>1421750</v>
      </c>
      <c r="F2171" s="1">
        <v>1786.11809045226</v>
      </c>
      <c r="H2171" s="1">
        <v>2</v>
      </c>
      <c r="J2171" s="1">
        <v>1</v>
      </c>
      <c r="M2171" s="1">
        <v>796</v>
      </c>
      <c r="N2171" s="1">
        <v>679</v>
      </c>
      <c r="O2171" s="1">
        <v>1656</v>
      </c>
      <c r="P2171" s="1">
        <v>977</v>
      </c>
      <c r="Q2171" s="1" t="s">
        <v>42</v>
      </c>
      <c r="S2171" s="1" t="s">
        <v>42</v>
      </c>
      <c r="T2171" s="1" t="s">
        <v>203</v>
      </c>
      <c r="AA2171" s="1">
        <v>1421750</v>
      </c>
      <c r="AB2171" s="1" t="s">
        <v>1691</v>
      </c>
      <c r="AC2171" s="5">
        <v>42277</v>
      </c>
      <c r="AF2171" s="1">
        <v>10019</v>
      </c>
      <c r="AI2171" s="1" t="s">
        <v>76</v>
      </c>
      <c r="AJ2171" s="1">
        <v>2017</v>
      </c>
      <c r="AK2171" s="1" t="s">
        <v>50</v>
      </c>
      <c r="AL2171" s="1">
        <v>248</v>
      </c>
    </row>
    <row r="2172" spans="1:38" x14ac:dyDescent="0.2">
      <c r="A2172" s="2" t="str">
        <f>HYPERLINK("https://www.compass.com/listing/775-riverside-drive-unit-5c-manhattan-ny-10032/771472459768428425/","775 Riverside Dr, Unit 5C")</f>
        <v>775 Riverside Dr, Unit 5C</v>
      </c>
      <c r="B2172" s="2" t="str">
        <f>HYPERLINK("https://www.compass.com/building/775-riverside-dr-manhattan-ny-10032/294837409665591813/","775 Riverside Dr")</f>
        <v>775 Riverside Dr</v>
      </c>
      <c r="C2172" s="1" t="s">
        <v>164</v>
      </c>
      <c r="D2172" s="1" t="s">
        <v>41</v>
      </c>
      <c r="E2172" s="3">
        <v>580000</v>
      </c>
      <c r="F2172" s="1">
        <v>639.47078280044104</v>
      </c>
      <c r="H2172" s="1">
        <v>1</v>
      </c>
      <c r="J2172" s="1">
        <v>1</v>
      </c>
      <c r="K2172" s="1">
        <v>1</v>
      </c>
      <c r="M2172" s="1">
        <v>907</v>
      </c>
      <c r="N2172" s="1">
        <v>640.20000000000005</v>
      </c>
      <c r="O2172" s="1">
        <v>1092.8599999999999</v>
      </c>
      <c r="P2172" s="1">
        <v>452.666666666666</v>
      </c>
      <c r="Q2172" s="1" t="s">
        <v>42</v>
      </c>
      <c r="S2172" s="1" t="s">
        <v>42</v>
      </c>
      <c r="T2172" s="1" t="s">
        <v>203</v>
      </c>
      <c r="AA2172" s="1">
        <v>580000</v>
      </c>
      <c r="AB2172" s="1" t="s">
        <v>1692</v>
      </c>
      <c r="AC2172" s="5">
        <v>44280</v>
      </c>
      <c r="AF2172" s="1">
        <v>10032</v>
      </c>
      <c r="AJ2172" s="1">
        <v>1931</v>
      </c>
    </row>
    <row r="2173" spans="1:38" x14ac:dyDescent="0.2">
      <c r="A2173" s="2" t="str">
        <f>HYPERLINK("https://www.compass.com/listing/301-west-53rd-street-unit-14ij-manhattan-ny-10019/29388150774248481/","301 W 53rd St, Unit 14IJ")</f>
        <v>301 W 53rd St, Unit 14IJ</v>
      </c>
      <c r="B2173" s="2" t="str">
        <f t="shared" ref="B2173:B2238" si="367">HYPERLINK("https://www.compass.com/building/fifty-third-and-eighth-manhattan-ny/281944545158031557/","Fifty Third and Eighth")</f>
        <v>Fifty Third and Eighth</v>
      </c>
      <c r="C2173" s="1" t="s">
        <v>57</v>
      </c>
      <c r="D2173" s="1" t="s">
        <v>41</v>
      </c>
      <c r="E2173" s="3">
        <v>2344276</v>
      </c>
      <c r="F2173" s="1">
        <v>1742.95613382899</v>
      </c>
      <c r="G2173" s="1">
        <v>4.5</v>
      </c>
      <c r="H2173" s="1">
        <v>2</v>
      </c>
      <c r="I2173" s="1">
        <v>3</v>
      </c>
      <c r="J2173" s="1">
        <v>2.5</v>
      </c>
      <c r="M2173" s="4">
        <v>1345</v>
      </c>
      <c r="N2173" s="1">
        <v>1133</v>
      </c>
      <c r="O2173" s="1">
        <v>3417</v>
      </c>
      <c r="P2173" s="1">
        <v>2284</v>
      </c>
      <c r="Q2173" s="1" t="s">
        <v>42</v>
      </c>
      <c r="S2173" s="1" t="s">
        <v>42</v>
      </c>
      <c r="T2173" s="1" t="s">
        <v>203</v>
      </c>
      <c r="V2173" s="5">
        <v>43638</v>
      </c>
      <c r="W2173" s="5">
        <v>43141</v>
      </c>
      <c r="X2173" s="1">
        <v>2520000</v>
      </c>
      <c r="Y2173" s="1">
        <v>2520000</v>
      </c>
      <c r="Z2173" s="5">
        <v>43141</v>
      </c>
      <c r="AA2173" s="1">
        <v>2344276</v>
      </c>
      <c r="AB2173" s="1" t="s">
        <v>1693</v>
      </c>
      <c r="AC2173" s="5">
        <v>43179</v>
      </c>
      <c r="AF2173" s="1">
        <v>10019</v>
      </c>
      <c r="AI2173" s="1" t="s">
        <v>76</v>
      </c>
      <c r="AJ2173" s="1">
        <v>2017</v>
      </c>
      <c r="AK2173" s="1" t="s">
        <v>50</v>
      </c>
      <c r="AL2173" s="1">
        <v>248</v>
      </c>
    </row>
    <row r="2174" spans="1:38" x14ac:dyDescent="0.2">
      <c r="A2174" s="2" t="str">
        <f>HYPERLINK("https://www.compass.com/listing/301-west-53rd-street-unit-15ij-manhattan-ny-10019/29388156159726641/","301 W 53rd St, Unit 15IJ")</f>
        <v>301 W 53rd St, Unit 15IJ</v>
      </c>
      <c r="B2174" s="2" t="str">
        <f t="shared" si="367"/>
        <v>Fifty Third and Eighth</v>
      </c>
      <c r="C2174" s="1" t="s">
        <v>57</v>
      </c>
      <c r="D2174" s="1" t="s">
        <v>41</v>
      </c>
      <c r="E2174" s="3">
        <v>2459320</v>
      </c>
      <c r="F2174" s="1">
        <v>1828.4907063196999</v>
      </c>
      <c r="G2174" s="1">
        <v>5</v>
      </c>
      <c r="H2174" s="1">
        <v>2</v>
      </c>
      <c r="I2174" s="1">
        <v>3</v>
      </c>
      <c r="J2174" s="1">
        <v>2.5</v>
      </c>
      <c r="M2174" s="4">
        <v>1345</v>
      </c>
      <c r="N2174" s="1">
        <v>1143</v>
      </c>
      <c r="O2174" s="1">
        <v>3212</v>
      </c>
      <c r="P2174" s="1">
        <v>2069</v>
      </c>
      <c r="Q2174" s="1" t="s">
        <v>42</v>
      </c>
      <c r="S2174" s="1" t="s">
        <v>42</v>
      </c>
      <c r="T2174" s="1" t="s">
        <v>203</v>
      </c>
      <c r="V2174" s="5">
        <v>43659</v>
      </c>
      <c r="W2174" s="5">
        <v>42979</v>
      </c>
      <c r="X2174" s="1">
        <v>2545000</v>
      </c>
      <c r="Y2174" s="1">
        <v>2545000</v>
      </c>
      <c r="Z2174" s="5">
        <v>42979</v>
      </c>
      <c r="AA2174" s="1">
        <v>2459320</v>
      </c>
      <c r="AB2174" s="1" t="s">
        <v>1694</v>
      </c>
      <c r="AC2174" s="5">
        <v>43043</v>
      </c>
      <c r="AF2174" s="1">
        <v>10019</v>
      </c>
      <c r="AI2174" s="1" t="s">
        <v>76</v>
      </c>
      <c r="AJ2174" s="1">
        <v>2017</v>
      </c>
      <c r="AK2174" s="1" t="s">
        <v>50</v>
      </c>
      <c r="AL2174" s="1">
        <v>248</v>
      </c>
    </row>
    <row r="2175" spans="1:38" x14ac:dyDescent="0.2">
      <c r="A2175" s="2" t="str">
        <f>HYPERLINK("https://www.compass.com/listing/301-west-53rd-street-unit-2a-manhattan-ny-10019/29388102858518705/","301 W 53rd St, Unit 2A")</f>
        <v>301 W 53rd St, Unit 2A</v>
      </c>
      <c r="B2175" s="2" t="str">
        <f t="shared" si="367"/>
        <v>Fifty Third and Eighth</v>
      </c>
      <c r="C2175" s="1" t="s">
        <v>57</v>
      </c>
      <c r="D2175" s="1" t="s">
        <v>41</v>
      </c>
      <c r="E2175" s="3">
        <v>1585048</v>
      </c>
      <c r="F2175" s="1">
        <v>1525.5514918190499</v>
      </c>
      <c r="G2175" s="1">
        <v>6</v>
      </c>
      <c r="H2175" s="1">
        <v>3</v>
      </c>
      <c r="I2175" s="1">
        <v>2</v>
      </c>
      <c r="J2175" s="1">
        <v>2</v>
      </c>
      <c r="M2175" s="4">
        <v>1039</v>
      </c>
      <c r="N2175" s="1">
        <v>821</v>
      </c>
      <c r="O2175" s="1">
        <v>2002</v>
      </c>
      <c r="P2175" s="1">
        <v>1181</v>
      </c>
      <c r="Q2175" s="1" t="s">
        <v>42</v>
      </c>
      <c r="S2175" s="1" t="s">
        <v>42</v>
      </c>
      <c r="T2175" s="1" t="s">
        <v>203</v>
      </c>
      <c r="V2175" s="5">
        <v>43654</v>
      </c>
      <c r="W2175" s="5">
        <v>42307</v>
      </c>
      <c r="X2175" s="1">
        <v>1550000</v>
      </c>
      <c r="Y2175" s="1">
        <v>1550000</v>
      </c>
      <c r="Z2175" s="5">
        <v>42307</v>
      </c>
      <c r="AA2175" s="1">
        <v>1585048</v>
      </c>
      <c r="AB2175" s="1" t="s">
        <v>1695</v>
      </c>
      <c r="AC2175" s="5">
        <v>42376</v>
      </c>
      <c r="AF2175" s="1">
        <v>10019</v>
      </c>
      <c r="AI2175" s="1" t="s">
        <v>76</v>
      </c>
      <c r="AJ2175" s="1">
        <v>2017</v>
      </c>
      <c r="AK2175" s="1" t="s">
        <v>50</v>
      </c>
      <c r="AL2175" s="1">
        <v>248</v>
      </c>
    </row>
    <row r="2176" spans="1:38" x14ac:dyDescent="0.2">
      <c r="A2176" s="2" t="str">
        <f>HYPERLINK("https://www.compass.com/listing/301-west-53rd-street-unit-4f-manhattan-ny-10019/29388108629816881/","301 W 53rd St, Unit 4F")</f>
        <v>301 W 53rd St, Unit 4F</v>
      </c>
      <c r="B2176" s="2" t="str">
        <f t="shared" si="367"/>
        <v>Fifty Third and Eighth</v>
      </c>
      <c r="C2176" s="1" t="s">
        <v>57</v>
      </c>
      <c r="D2176" s="1" t="s">
        <v>41</v>
      </c>
      <c r="E2176" s="3">
        <v>1666834</v>
      </c>
      <c r="F2176" s="1">
        <v>1602.7249999999999</v>
      </c>
      <c r="G2176" s="1">
        <v>5</v>
      </c>
      <c r="H2176" s="1">
        <v>3</v>
      </c>
      <c r="I2176" s="1">
        <v>2</v>
      </c>
      <c r="J2176" s="1">
        <v>2</v>
      </c>
      <c r="M2176" s="4">
        <v>1040</v>
      </c>
      <c r="N2176" s="1">
        <v>856</v>
      </c>
      <c r="O2176" s="1">
        <v>1969</v>
      </c>
      <c r="P2176" s="1">
        <v>1113</v>
      </c>
      <c r="Q2176" s="1" t="s">
        <v>42</v>
      </c>
      <c r="S2176" s="1" t="s">
        <v>42</v>
      </c>
      <c r="T2176" s="1" t="s">
        <v>203</v>
      </c>
      <c r="V2176" s="5">
        <v>43654</v>
      </c>
      <c r="W2176" s="5">
        <v>42354</v>
      </c>
      <c r="X2176" s="1">
        <v>1690000</v>
      </c>
      <c r="Y2176" s="1">
        <v>1690000</v>
      </c>
      <c r="Z2176" s="5">
        <v>42354</v>
      </c>
      <c r="AA2176" s="1">
        <v>1666834</v>
      </c>
      <c r="AB2176" s="1" t="s">
        <v>1696</v>
      </c>
      <c r="AC2176" s="5">
        <v>42448</v>
      </c>
      <c r="AF2176" s="1">
        <v>10019</v>
      </c>
      <c r="AI2176" s="1" t="s">
        <v>76</v>
      </c>
      <c r="AJ2176" s="1">
        <v>2017</v>
      </c>
      <c r="AK2176" s="1" t="s">
        <v>50</v>
      </c>
      <c r="AL2176" s="1">
        <v>248</v>
      </c>
    </row>
    <row r="2177" spans="1:38" x14ac:dyDescent="0.2">
      <c r="A2177" s="2" t="str">
        <f>HYPERLINK("https://www.compass.com/listing/301-west-53rd-street-unit-10k-manhattan-ny-10019/29388136589103873/","301 W 53rd St, Unit 10K")</f>
        <v>301 W 53rd St, Unit 10K</v>
      </c>
      <c r="B2177" s="2" t="str">
        <f t="shared" si="367"/>
        <v>Fifty Third and Eighth</v>
      </c>
      <c r="C2177" s="1" t="s">
        <v>57</v>
      </c>
      <c r="D2177" s="1" t="s">
        <v>41</v>
      </c>
      <c r="E2177" s="3">
        <v>1812485</v>
      </c>
      <c r="F2177" s="1">
        <v>1742.7740384615299</v>
      </c>
      <c r="G2177" s="1">
        <v>6</v>
      </c>
      <c r="H2177" s="1">
        <v>4</v>
      </c>
      <c r="I2177" s="1">
        <v>2</v>
      </c>
      <c r="J2177" s="1">
        <v>2</v>
      </c>
      <c r="K2177" s="1">
        <v>2</v>
      </c>
      <c r="M2177" s="4">
        <v>1040</v>
      </c>
      <c r="N2177" s="1">
        <v>884</v>
      </c>
      <c r="O2177" s="1">
        <v>2030</v>
      </c>
      <c r="P2177" s="1">
        <v>1146</v>
      </c>
      <c r="Q2177" s="1" t="s">
        <v>42</v>
      </c>
      <c r="S2177" s="1" t="s">
        <v>42</v>
      </c>
      <c r="T2177" s="1" t="s">
        <v>203</v>
      </c>
      <c r="U2177" s="1">
        <v>1</v>
      </c>
      <c r="V2177" s="5">
        <v>44344</v>
      </c>
      <c r="W2177" s="5">
        <v>42286</v>
      </c>
      <c r="X2177" s="1">
        <v>1870000</v>
      </c>
      <c r="Y2177" s="1">
        <v>1870000</v>
      </c>
      <c r="Z2177" s="5">
        <v>42287</v>
      </c>
      <c r="AA2177" s="1">
        <v>1812485</v>
      </c>
      <c r="AB2177" s="1" t="s">
        <v>1697</v>
      </c>
      <c r="AC2177" s="5">
        <v>42321</v>
      </c>
      <c r="AF2177" s="1">
        <v>10019</v>
      </c>
      <c r="AI2177" s="1" t="s">
        <v>76</v>
      </c>
      <c r="AJ2177" s="1">
        <v>2017</v>
      </c>
      <c r="AK2177" s="1" t="s">
        <v>50</v>
      </c>
      <c r="AL2177" s="1">
        <v>248</v>
      </c>
    </row>
    <row r="2178" spans="1:38" x14ac:dyDescent="0.2">
      <c r="A2178" s="2" t="str">
        <f>HYPERLINK("https://www.compass.com/listing/301-west-53rd-street-unit-11a-manhattan-ny-10019/29388136966599441/","301 W 53rd St, Unit 11A")</f>
        <v>301 W 53rd St, Unit 11A</v>
      </c>
      <c r="B2178" s="2" t="str">
        <f t="shared" si="367"/>
        <v>Fifty Third and Eighth</v>
      </c>
      <c r="C2178" s="1" t="s">
        <v>57</v>
      </c>
      <c r="D2178" s="1" t="s">
        <v>41</v>
      </c>
      <c r="E2178" s="3">
        <v>1917063</v>
      </c>
      <c r="F2178" s="1">
        <v>1845.1043984600501</v>
      </c>
      <c r="G2178" s="1">
        <v>4</v>
      </c>
      <c r="H2178" s="1">
        <v>3</v>
      </c>
      <c r="I2178" s="1">
        <v>2</v>
      </c>
      <c r="J2178" s="1">
        <v>2</v>
      </c>
      <c r="M2178" s="4">
        <v>1039</v>
      </c>
      <c r="N2178" s="1">
        <v>887</v>
      </c>
      <c r="O2178" s="1">
        <v>2037</v>
      </c>
      <c r="P2178" s="1">
        <v>1150</v>
      </c>
      <c r="Q2178" s="1" t="s">
        <v>42</v>
      </c>
      <c r="S2178" s="1" t="s">
        <v>42</v>
      </c>
      <c r="T2178" s="1" t="s">
        <v>203</v>
      </c>
      <c r="U2178" s="1">
        <v>277</v>
      </c>
      <c r="V2178" s="5">
        <v>42448</v>
      </c>
      <c r="W2178" s="5">
        <v>42013</v>
      </c>
      <c r="X2178" s="1">
        <v>1910000</v>
      </c>
      <c r="Y2178" s="1">
        <v>1910000</v>
      </c>
      <c r="AA2178" s="1">
        <v>1917063.47</v>
      </c>
      <c r="AB2178" s="1" t="s">
        <v>1698</v>
      </c>
      <c r="AC2178" s="5">
        <v>42291</v>
      </c>
      <c r="AF2178" s="1">
        <v>10019</v>
      </c>
      <c r="AI2178" s="1" t="s">
        <v>153</v>
      </c>
      <c r="AJ2178" s="1">
        <v>2017</v>
      </c>
      <c r="AK2178" s="1" t="s">
        <v>50</v>
      </c>
      <c r="AL2178" s="1">
        <v>248</v>
      </c>
    </row>
    <row r="2179" spans="1:38" x14ac:dyDescent="0.2">
      <c r="A2179" s="2" t="str">
        <f>HYPERLINK("https://www.compass.com/listing/301-west-53rd-street-unit-11k-manhattan-ny-10019/29388140917569665/","301 W 53rd St, Unit 11K")</f>
        <v>301 W 53rd St, Unit 11K</v>
      </c>
      <c r="B2179" s="2" t="str">
        <f t="shared" si="367"/>
        <v>Fifty Third and Eighth</v>
      </c>
      <c r="C2179" s="1" t="s">
        <v>57</v>
      </c>
      <c r="D2179" s="1" t="s">
        <v>41</v>
      </c>
      <c r="E2179" s="3">
        <v>1882070</v>
      </c>
      <c r="F2179" s="1">
        <v>1809.6826923076901</v>
      </c>
      <c r="G2179" s="1">
        <v>6</v>
      </c>
      <c r="H2179" s="1">
        <v>3</v>
      </c>
      <c r="I2179" s="1">
        <v>2</v>
      </c>
      <c r="J2179" s="1">
        <v>2</v>
      </c>
      <c r="M2179" s="4">
        <v>1040</v>
      </c>
      <c r="N2179" s="1">
        <v>888</v>
      </c>
      <c r="O2179" s="1">
        <v>2040</v>
      </c>
      <c r="P2179" s="1">
        <v>1152</v>
      </c>
      <c r="Q2179" s="1" t="s">
        <v>42</v>
      </c>
      <c r="S2179" s="1" t="s">
        <v>42</v>
      </c>
      <c r="T2179" s="1" t="s">
        <v>203</v>
      </c>
      <c r="V2179" s="5">
        <v>43676</v>
      </c>
      <c r="W2179" s="5">
        <v>42452</v>
      </c>
      <c r="X2179" s="1">
        <v>1885000</v>
      </c>
      <c r="Y2179" s="1">
        <v>1885000</v>
      </c>
      <c r="Z2179" s="5">
        <v>42452</v>
      </c>
      <c r="AA2179" s="1">
        <v>1882070</v>
      </c>
      <c r="AB2179" s="1" t="s">
        <v>1699</v>
      </c>
      <c r="AC2179" s="5">
        <v>42530</v>
      </c>
      <c r="AF2179" s="1">
        <v>10019</v>
      </c>
      <c r="AI2179" s="1" t="s">
        <v>76</v>
      </c>
      <c r="AJ2179" s="1">
        <v>2017</v>
      </c>
      <c r="AK2179" s="1" t="s">
        <v>50</v>
      </c>
      <c r="AL2179" s="1">
        <v>248</v>
      </c>
    </row>
    <row r="2180" spans="1:38" x14ac:dyDescent="0.2">
      <c r="A2180" s="2" t="str">
        <f>HYPERLINK("https://www.compass.com/listing/301-west-53rd-street-unit-12f-manhattan-ny-10019/29388143132162209/","301 W 53rd St, Unit 12F")</f>
        <v>301 W 53rd St, Unit 12F</v>
      </c>
      <c r="B2180" s="2" t="str">
        <f t="shared" si="367"/>
        <v>Fifty Third and Eighth</v>
      </c>
      <c r="C2180" s="1" t="s">
        <v>57</v>
      </c>
      <c r="D2180" s="1" t="s">
        <v>41</v>
      </c>
      <c r="E2180" s="3">
        <v>1807104</v>
      </c>
      <c r="F2180" s="1">
        <v>1737.6</v>
      </c>
      <c r="G2180" s="1">
        <v>6</v>
      </c>
      <c r="H2180" s="1">
        <v>3</v>
      </c>
      <c r="I2180" s="1">
        <v>2</v>
      </c>
      <c r="J2180" s="1">
        <v>2</v>
      </c>
      <c r="M2180" s="4">
        <v>1040</v>
      </c>
      <c r="N2180" s="1">
        <v>893</v>
      </c>
      <c r="O2180" s="1">
        <v>2050</v>
      </c>
      <c r="P2180" s="1">
        <v>1157</v>
      </c>
      <c r="Q2180" s="1" t="s">
        <v>42</v>
      </c>
      <c r="S2180" s="1" t="s">
        <v>42</v>
      </c>
      <c r="T2180" s="1" t="s">
        <v>203</v>
      </c>
      <c r="V2180" s="5">
        <v>43654</v>
      </c>
      <c r="W2180" s="5">
        <v>42294</v>
      </c>
      <c r="X2180" s="1">
        <v>1810000</v>
      </c>
      <c r="Y2180" s="1">
        <v>1810000</v>
      </c>
      <c r="Z2180" s="5">
        <v>42294</v>
      </c>
      <c r="AA2180" s="1">
        <v>1807104</v>
      </c>
      <c r="AB2180" s="1" t="s">
        <v>1700</v>
      </c>
      <c r="AC2180" s="5">
        <v>42355</v>
      </c>
      <c r="AF2180" s="1">
        <v>10019</v>
      </c>
      <c r="AI2180" s="1" t="s">
        <v>76</v>
      </c>
      <c r="AJ2180" s="1">
        <v>2017</v>
      </c>
      <c r="AK2180" s="1" t="s">
        <v>50</v>
      </c>
      <c r="AL2180" s="1">
        <v>248</v>
      </c>
    </row>
    <row r="2181" spans="1:38" x14ac:dyDescent="0.2">
      <c r="A2181" s="2" t="str">
        <f>HYPERLINK("https://www.compass.com/listing/301-west-53rd-street-unit-17e-manhattan-ny-10019/29388163491370225/","301 W 53rd St, Unit 17E")</f>
        <v>301 W 53rd St, Unit 17E</v>
      </c>
      <c r="B2181" s="2" t="str">
        <f t="shared" si="367"/>
        <v>Fifty Third and Eighth</v>
      </c>
      <c r="C2181" s="1" t="s">
        <v>57</v>
      </c>
      <c r="D2181" s="1" t="s">
        <v>41</v>
      </c>
      <c r="E2181" s="3">
        <v>1952125</v>
      </c>
      <c r="F2181" s="1">
        <v>1878.8497978825701</v>
      </c>
      <c r="G2181" s="1">
        <v>6</v>
      </c>
      <c r="H2181" s="1">
        <v>3</v>
      </c>
      <c r="I2181" s="1">
        <v>2</v>
      </c>
      <c r="J2181" s="1">
        <v>2</v>
      </c>
      <c r="K2181" s="1">
        <v>2</v>
      </c>
      <c r="M2181" s="4">
        <v>1039</v>
      </c>
      <c r="N2181" s="1">
        <v>883</v>
      </c>
      <c r="O2181" s="1">
        <v>2152</v>
      </c>
      <c r="P2181" s="1">
        <v>1269</v>
      </c>
      <c r="Q2181" s="1" t="s">
        <v>42</v>
      </c>
      <c r="S2181" s="1" t="s">
        <v>42</v>
      </c>
      <c r="T2181" s="1" t="s">
        <v>203</v>
      </c>
      <c r="U2181" s="1">
        <v>251</v>
      </c>
      <c r="V2181" s="5">
        <v>44399</v>
      </c>
      <c r="W2181" s="5">
        <v>42013</v>
      </c>
      <c r="X2181" s="1">
        <v>1910000</v>
      </c>
      <c r="Y2181" s="1">
        <v>1910000</v>
      </c>
      <c r="AA2181" s="1">
        <v>1952124.94</v>
      </c>
      <c r="AB2181" s="1" t="s">
        <v>1701</v>
      </c>
      <c r="AC2181" s="5">
        <v>42265</v>
      </c>
      <c r="AF2181" s="1">
        <v>10019</v>
      </c>
      <c r="AI2181" s="1" t="s">
        <v>76</v>
      </c>
      <c r="AJ2181" s="1">
        <v>2017</v>
      </c>
      <c r="AK2181" s="1" t="s">
        <v>50</v>
      </c>
      <c r="AL2181" s="1">
        <v>248</v>
      </c>
    </row>
    <row r="2182" spans="1:38" x14ac:dyDescent="0.2">
      <c r="A2182" s="2" t="str">
        <f>HYPERLINK("https://www.compass.com/listing/301-west-53rd-street-unit-5f-manhattan-ny-10019/785496289612839249/","301 W 53rd St, Unit 5F")</f>
        <v>301 W 53rd St, Unit 5F</v>
      </c>
      <c r="B2182" s="2" t="str">
        <f t="shared" si="367"/>
        <v>Fifty Third and Eighth</v>
      </c>
      <c r="C2182" s="1" t="s">
        <v>57</v>
      </c>
      <c r="D2182" s="1" t="s">
        <v>41</v>
      </c>
      <c r="E2182" s="3">
        <v>1705000</v>
      </c>
      <c r="F2182" s="1">
        <v>1639.4230769230701</v>
      </c>
      <c r="G2182" s="1">
        <v>6</v>
      </c>
      <c r="H2182" s="1">
        <v>3</v>
      </c>
      <c r="I2182" s="1">
        <v>2</v>
      </c>
      <c r="J2182" s="1">
        <v>2</v>
      </c>
      <c r="M2182" s="4">
        <v>1040</v>
      </c>
      <c r="N2182" s="1">
        <v>840</v>
      </c>
      <c r="O2182" s="1">
        <v>2048</v>
      </c>
      <c r="P2182" s="1">
        <v>1208</v>
      </c>
      <c r="Q2182" s="1" t="s">
        <v>42</v>
      </c>
      <c r="S2182" s="1" t="s">
        <v>42</v>
      </c>
      <c r="T2182" s="1" t="s">
        <v>203</v>
      </c>
      <c r="V2182" s="5">
        <v>42763</v>
      </c>
      <c r="Y2182" s="1">
        <v>1705000</v>
      </c>
      <c r="Z2182" s="5">
        <v>42628</v>
      </c>
      <c r="AA2182" s="1">
        <v>1705000</v>
      </c>
      <c r="AB2182" s="1" t="s">
        <v>204</v>
      </c>
      <c r="AC2182" s="5">
        <v>42760</v>
      </c>
      <c r="AF2182" s="1">
        <v>10019</v>
      </c>
      <c r="AI2182" s="1" t="s">
        <v>76</v>
      </c>
      <c r="AJ2182" s="1">
        <v>2017</v>
      </c>
      <c r="AK2182" s="1" t="s">
        <v>81</v>
      </c>
      <c r="AL2182" s="1">
        <v>248</v>
      </c>
    </row>
    <row r="2183" spans="1:38" x14ac:dyDescent="0.2">
      <c r="A2183" s="2" t="str">
        <f>HYPERLINK("https://www.compass.com/listing/301-west-53rd-street-unit-18e-manhattan-ny-10019/29388167056528689/","301 W 53rd St, Unit 18E")</f>
        <v>301 W 53rd St, Unit 18E</v>
      </c>
      <c r="B2183" s="2" t="str">
        <f t="shared" si="367"/>
        <v>Fifty Third and Eighth</v>
      </c>
      <c r="C2183" s="1" t="s">
        <v>57</v>
      </c>
      <c r="D2183" s="1" t="s">
        <v>41</v>
      </c>
      <c r="E2183" s="3">
        <v>1959432</v>
      </c>
      <c r="F2183" s="1">
        <v>1885.88257940327</v>
      </c>
      <c r="G2183" s="1">
        <v>6</v>
      </c>
      <c r="H2183" s="1">
        <v>2</v>
      </c>
      <c r="I2183" s="1">
        <v>2</v>
      </c>
      <c r="J2183" s="1">
        <v>2</v>
      </c>
      <c r="M2183" s="4">
        <v>1039</v>
      </c>
      <c r="N2183" s="1">
        <v>887</v>
      </c>
      <c r="O2183" s="1">
        <v>2162</v>
      </c>
      <c r="P2183" s="1">
        <v>1275</v>
      </c>
      <c r="Q2183" s="1" t="s">
        <v>42</v>
      </c>
      <c r="S2183" s="1" t="s">
        <v>42</v>
      </c>
      <c r="T2183" s="1" t="s">
        <v>203</v>
      </c>
      <c r="V2183" s="5">
        <v>43654</v>
      </c>
      <c r="W2183" s="5">
        <v>42278</v>
      </c>
      <c r="X2183" s="1">
        <v>1925000</v>
      </c>
      <c r="Y2183" s="1">
        <v>1925000</v>
      </c>
      <c r="Z2183" s="5">
        <v>42278</v>
      </c>
      <c r="AA2183" s="1">
        <v>1959432</v>
      </c>
      <c r="AB2183" s="1" t="s">
        <v>1702</v>
      </c>
      <c r="AC2183" s="5">
        <v>42280</v>
      </c>
      <c r="AF2183" s="1">
        <v>10019</v>
      </c>
      <c r="AI2183" s="1" t="s">
        <v>76</v>
      </c>
      <c r="AJ2183" s="1">
        <v>2017</v>
      </c>
      <c r="AK2183" s="1" t="s">
        <v>50</v>
      </c>
      <c r="AL2183" s="1">
        <v>248</v>
      </c>
    </row>
    <row r="2184" spans="1:38" x14ac:dyDescent="0.2">
      <c r="A2184" s="2" t="str">
        <f>HYPERLINK("https://www.compass.com/listing/301-west-53rd-street-unit-23a-manhattan-ny-10019/29388182801890385/","301 W 53rd St, Unit 23A")</f>
        <v>301 W 53rd St, Unit 23A</v>
      </c>
      <c r="B2184" s="2" t="str">
        <f t="shared" si="367"/>
        <v>Fifty Third and Eighth</v>
      </c>
      <c r="C2184" s="1" t="s">
        <v>57</v>
      </c>
      <c r="D2184" s="1" t="s">
        <v>41</v>
      </c>
      <c r="E2184" s="3">
        <v>2150886</v>
      </c>
      <c r="F2184" s="1">
        <v>2070.1501443695802</v>
      </c>
      <c r="G2184" s="1">
        <v>4</v>
      </c>
      <c r="H2184" s="1">
        <v>2</v>
      </c>
      <c r="I2184" s="1">
        <v>2</v>
      </c>
      <c r="J2184" s="1">
        <v>2</v>
      </c>
      <c r="M2184" s="4">
        <v>1039</v>
      </c>
      <c r="N2184" s="1">
        <v>907</v>
      </c>
      <c r="O2184" s="1">
        <v>2212</v>
      </c>
      <c r="P2184" s="1">
        <v>1305</v>
      </c>
      <c r="Q2184" s="1" t="s">
        <v>42</v>
      </c>
      <c r="S2184" s="1" t="s">
        <v>42</v>
      </c>
      <c r="T2184" s="1" t="s">
        <v>203</v>
      </c>
      <c r="V2184" s="5">
        <v>43654</v>
      </c>
      <c r="W2184" s="5">
        <v>42293</v>
      </c>
      <c r="X2184" s="1">
        <v>2105000</v>
      </c>
      <c r="Y2184" s="1">
        <v>2105000</v>
      </c>
      <c r="Z2184" s="5">
        <v>42293</v>
      </c>
      <c r="AA2184" s="1">
        <v>2150886</v>
      </c>
      <c r="AB2184" s="1" t="s">
        <v>1703</v>
      </c>
      <c r="AC2184" s="5">
        <v>42444</v>
      </c>
      <c r="AF2184" s="1">
        <v>10019</v>
      </c>
      <c r="AI2184" s="1" t="s">
        <v>76</v>
      </c>
      <c r="AJ2184" s="1">
        <v>2017</v>
      </c>
      <c r="AK2184" s="1" t="s">
        <v>50</v>
      </c>
      <c r="AL2184" s="1">
        <v>248</v>
      </c>
    </row>
    <row r="2185" spans="1:38" x14ac:dyDescent="0.2">
      <c r="A2185" s="2" t="str">
        <f>HYPERLINK("https://www.compass.com/listing/301-west-53rd-street-unit-24e-manhattan-ny-10019/29388187382070433/","301 W 53rd St, Unit 24E")</f>
        <v>301 W 53rd St, Unit 24E</v>
      </c>
      <c r="B2185" s="2" t="str">
        <f t="shared" si="367"/>
        <v>Fifty Third and Eighth</v>
      </c>
      <c r="C2185" s="1" t="s">
        <v>57</v>
      </c>
      <c r="D2185" s="1" t="s">
        <v>41</v>
      </c>
      <c r="E2185" s="3">
        <v>2059277</v>
      </c>
      <c r="F2185" s="1">
        <v>1981.9797882579401</v>
      </c>
      <c r="G2185" s="1">
        <v>6</v>
      </c>
      <c r="H2185" s="1">
        <v>2</v>
      </c>
      <c r="I2185" s="1">
        <v>2</v>
      </c>
      <c r="J2185" s="1">
        <v>2</v>
      </c>
      <c r="M2185" s="4">
        <v>1039</v>
      </c>
      <c r="N2185" s="1">
        <v>911</v>
      </c>
      <c r="O2185" s="1">
        <v>2222</v>
      </c>
      <c r="P2185" s="1">
        <v>1311</v>
      </c>
      <c r="Q2185" s="1" t="s">
        <v>42</v>
      </c>
      <c r="S2185" s="1" t="s">
        <v>42</v>
      </c>
      <c r="T2185" s="1" t="s">
        <v>203</v>
      </c>
      <c r="U2185" s="1">
        <v>1</v>
      </c>
      <c r="V2185" s="5">
        <v>43654</v>
      </c>
      <c r="W2185" s="5">
        <v>42286</v>
      </c>
      <c r="X2185" s="1">
        <v>2015000</v>
      </c>
      <c r="Y2185" s="1">
        <v>2015000</v>
      </c>
      <c r="Z2185" s="5">
        <v>42287</v>
      </c>
      <c r="AA2185" s="1">
        <v>2059277</v>
      </c>
      <c r="AB2185" s="1" t="s">
        <v>1704</v>
      </c>
      <c r="AC2185" s="5">
        <v>42382</v>
      </c>
      <c r="AF2185" s="1">
        <v>10019</v>
      </c>
      <c r="AI2185" s="1" t="s">
        <v>76</v>
      </c>
      <c r="AJ2185" s="1">
        <v>2017</v>
      </c>
      <c r="AK2185" s="1" t="s">
        <v>50</v>
      </c>
      <c r="AL2185" s="1">
        <v>248</v>
      </c>
    </row>
    <row r="2186" spans="1:38" x14ac:dyDescent="0.2">
      <c r="A2186" s="2" t="str">
        <f>HYPERLINK("https://www.compass.com/listing/301-west-53rd-street-unit-9ij-manhattan-ny-10019/4852306437382081457/","301 W 53rd St, Unit 9IJ")</f>
        <v>301 W 53rd St, Unit 9IJ</v>
      </c>
      <c r="B2186" s="2" t="str">
        <f t="shared" si="367"/>
        <v>Fifty Third and Eighth</v>
      </c>
      <c r="C2186" s="1" t="s">
        <v>57</v>
      </c>
      <c r="D2186" s="1" t="s">
        <v>41</v>
      </c>
      <c r="E2186" s="3">
        <v>1956000</v>
      </c>
      <c r="F2186" s="1">
        <v>1454.2750929368001</v>
      </c>
      <c r="G2186" s="1">
        <v>4</v>
      </c>
      <c r="H2186" s="1">
        <v>2</v>
      </c>
      <c r="I2186" s="1">
        <v>2</v>
      </c>
      <c r="J2186" s="1">
        <v>2</v>
      </c>
      <c r="M2186" s="4">
        <v>1345</v>
      </c>
      <c r="N2186" s="1">
        <v>1101</v>
      </c>
      <c r="O2186" s="1">
        <v>2684</v>
      </c>
      <c r="P2186" s="1">
        <v>1583</v>
      </c>
      <c r="Q2186" s="1" t="s">
        <v>42</v>
      </c>
      <c r="S2186" s="1" t="s">
        <v>42</v>
      </c>
      <c r="T2186" s="1" t="s">
        <v>203</v>
      </c>
      <c r="V2186" s="5">
        <v>43680</v>
      </c>
      <c r="W2186" s="5">
        <v>42307</v>
      </c>
      <c r="X2186" s="1">
        <v>1956000</v>
      </c>
      <c r="Y2186" s="1">
        <v>1956000</v>
      </c>
      <c r="Z2186" s="5">
        <v>42307</v>
      </c>
      <c r="AA2186" s="1">
        <v>1956000</v>
      </c>
      <c r="AB2186" s="1" t="s">
        <v>204</v>
      </c>
      <c r="AC2186" s="5">
        <v>42453</v>
      </c>
      <c r="AF2186" s="1">
        <v>10019</v>
      </c>
      <c r="AI2186" s="1" t="s">
        <v>76</v>
      </c>
      <c r="AJ2186" s="1">
        <v>2017</v>
      </c>
      <c r="AK2186" s="1" t="s">
        <v>50</v>
      </c>
      <c r="AL2186" s="1">
        <v>248</v>
      </c>
    </row>
    <row r="2187" spans="1:38" x14ac:dyDescent="0.2">
      <c r="A2187" s="2" t="str">
        <f>HYPERLINK("https://www.compass.com/listing/301-west-53rd-street-unit-22f-manhattan-ny-10019/29388180671239761/","301 W 53rd St, Unit 22F")</f>
        <v>301 W 53rd St, Unit 22F</v>
      </c>
      <c r="B2187" s="2" t="str">
        <f t="shared" si="367"/>
        <v>Fifty Third and Eighth</v>
      </c>
      <c r="C2187" s="1" t="s">
        <v>57</v>
      </c>
      <c r="D2187" s="1" t="s">
        <v>41</v>
      </c>
      <c r="E2187" s="3">
        <v>1967443</v>
      </c>
      <c r="F2187" s="1">
        <v>1891.7719999999999</v>
      </c>
      <c r="G2187" s="1">
        <v>5</v>
      </c>
      <c r="H2187" s="1">
        <v>2</v>
      </c>
      <c r="I2187" s="1">
        <v>2</v>
      </c>
      <c r="J2187" s="1">
        <v>2</v>
      </c>
      <c r="M2187" s="4">
        <v>1040</v>
      </c>
      <c r="N2187" s="1">
        <v>913</v>
      </c>
      <c r="O2187" s="1">
        <v>2566</v>
      </c>
      <c r="P2187" s="1">
        <v>1653</v>
      </c>
      <c r="Q2187" s="1" t="s">
        <v>42</v>
      </c>
      <c r="S2187" s="1" t="s">
        <v>42</v>
      </c>
      <c r="T2187" s="1" t="s">
        <v>203</v>
      </c>
      <c r="U2187" s="1">
        <v>158</v>
      </c>
      <c r="V2187" s="5">
        <v>43606</v>
      </c>
      <c r="W2187" s="5">
        <v>42544</v>
      </c>
      <c r="X2187" s="1">
        <v>1960000</v>
      </c>
      <c r="Y2187" s="1">
        <v>1960000</v>
      </c>
      <c r="Z2187" s="5">
        <v>42702</v>
      </c>
      <c r="AA2187" s="1">
        <v>1967442.88</v>
      </c>
      <c r="AB2187" s="1" t="s">
        <v>1705</v>
      </c>
      <c r="AC2187" s="5">
        <v>42719</v>
      </c>
      <c r="AF2187" s="1">
        <v>10019</v>
      </c>
      <c r="AI2187" s="1" t="s">
        <v>76</v>
      </c>
      <c r="AJ2187" s="1">
        <v>2017</v>
      </c>
      <c r="AK2187" s="1" t="s">
        <v>81</v>
      </c>
      <c r="AL2187" s="1">
        <v>248</v>
      </c>
    </row>
    <row r="2188" spans="1:38" x14ac:dyDescent="0.2">
      <c r="A2188" s="2" t="str">
        <f>HYPERLINK("https://www.compass.com/listing/301-west-53rd-street-unit-23f-manhattan-ny-10019/29388184722945617/","301 W 53rd St, Unit 23F")</f>
        <v>301 W 53rd St, Unit 23F</v>
      </c>
      <c r="B2188" s="2" t="str">
        <f t="shared" si="367"/>
        <v>Fifty Third and Eighth</v>
      </c>
      <c r="C2188" s="1" t="s">
        <v>57</v>
      </c>
      <c r="D2188" s="1" t="s">
        <v>41</v>
      </c>
      <c r="E2188" s="3">
        <v>2000498</v>
      </c>
      <c r="F2188" s="1">
        <v>1923.55576923076</v>
      </c>
      <c r="G2188" s="1">
        <v>6</v>
      </c>
      <c r="H2188" s="1">
        <v>2</v>
      </c>
      <c r="I2188" s="1">
        <v>2</v>
      </c>
      <c r="J2188" s="1">
        <v>2</v>
      </c>
      <c r="M2188" s="4">
        <v>1040</v>
      </c>
      <c r="N2188" s="1">
        <v>914</v>
      </c>
      <c r="O2188" s="1">
        <v>2229</v>
      </c>
      <c r="P2188" s="1">
        <v>1315</v>
      </c>
      <c r="Q2188" s="1" t="s">
        <v>42</v>
      </c>
      <c r="S2188" s="1" t="s">
        <v>42</v>
      </c>
      <c r="T2188" s="1" t="s">
        <v>203</v>
      </c>
      <c r="U2188" s="1">
        <v>48</v>
      </c>
      <c r="V2188" s="5">
        <v>43684</v>
      </c>
      <c r="W2188" s="5">
        <v>42494</v>
      </c>
      <c r="X2188" s="1">
        <v>1975000</v>
      </c>
      <c r="Y2188" s="1">
        <v>1975000</v>
      </c>
      <c r="Z2188" s="5">
        <v>42542</v>
      </c>
      <c r="AA2188" s="1">
        <v>2000498</v>
      </c>
      <c r="AB2188" s="1" t="s">
        <v>1706</v>
      </c>
      <c r="AC2188" s="5">
        <v>42563</v>
      </c>
      <c r="AF2188" s="1">
        <v>10019</v>
      </c>
      <c r="AI2188" s="1" t="s">
        <v>76</v>
      </c>
      <c r="AJ2188" s="1">
        <v>2017</v>
      </c>
      <c r="AK2188" s="1" t="s">
        <v>50</v>
      </c>
      <c r="AL2188" s="1">
        <v>248</v>
      </c>
    </row>
    <row r="2189" spans="1:38" x14ac:dyDescent="0.2">
      <c r="A2189" s="2" t="str">
        <f>HYPERLINK("https://www.compass.com/listing/301-west-53rd-street-unit-2gh-manhattan-ny-10019/29388103705759873/","301 W 53rd St, Unit 2GH")</f>
        <v>301 W 53rd St, Unit 2GH</v>
      </c>
      <c r="B2189" s="2" t="str">
        <f t="shared" si="367"/>
        <v>Fifty Third and Eighth</v>
      </c>
      <c r="C2189" s="1" t="s">
        <v>57</v>
      </c>
      <c r="D2189" s="1" t="s">
        <v>41</v>
      </c>
      <c r="E2189" s="3">
        <v>2423139</v>
      </c>
      <c r="F2189" s="1">
        <v>1801.5903345724901</v>
      </c>
      <c r="G2189" s="1">
        <v>4</v>
      </c>
      <c r="H2189" s="1">
        <v>2</v>
      </c>
      <c r="I2189" s="1">
        <v>2</v>
      </c>
      <c r="J2189" s="1">
        <v>2</v>
      </c>
      <c r="K2189" s="1">
        <v>2</v>
      </c>
      <c r="M2189" s="4">
        <v>1345</v>
      </c>
      <c r="N2189" s="1">
        <v>1201</v>
      </c>
      <c r="O2189" s="1">
        <v>2474</v>
      </c>
      <c r="P2189" s="1">
        <v>1273</v>
      </c>
      <c r="Q2189" s="1" t="s">
        <v>42</v>
      </c>
      <c r="S2189" s="1" t="s">
        <v>42</v>
      </c>
      <c r="T2189" s="1" t="s">
        <v>203</v>
      </c>
      <c r="V2189" s="5">
        <v>44338</v>
      </c>
      <c r="W2189" s="5">
        <v>42370</v>
      </c>
      <c r="X2189" s="1">
        <v>2370000</v>
      </c>
      <c r="Y2189" s="1">
        <v>2370000</v>
      </c>
      <c r="Z2189" s="5">
        <v>42370</v>
      </c>
      <c r="AA2189" s="1">
        <v>2423139</v>
      </c>
      <c r="AB2189" s="1" t="s">
        <v>1707</v>
      </c>
      <c r="AC2189" s="5">
        <v>42724</v>
      </c>
      <c r="AF2189" s="1">
        <v>10019</v>
      </c>
      <c r="AI2189" s="1" t="s">
        <v>153</v>
      </c>
      <c r="AJ2189" s="1">
        <v>2017</v>
      </c>
      <c r="AK2189" s="1" t="s">
        <v>81</v>
      </c>
      <c r="AL2189" s="1">
        <v>248</v>
      </c>
    </row>
    <row r="2190" spans="1:38" x14ac:dyDescent="0.2">
      <c r="A2190" s="2" t="str">
        <f>HYPERLINK("https://www.compass.com/listing/301-west-53rd-street-unit-13a-manhattan-ny-10019/29388145187371217/","301 W 53rd St, Unit 13A")</f>
        <v>301 W 53rd St, Unit 13A</v>
      </c>
      <c r="B2190" s="2" t="str">
        <f t="shared" si="367"/>
        <v>Fifty Third and Eighth</v>
      </c>
      <c r="C2190" s="1" t="s">
        <v>57</v>
      </c>
      <c r="D2190" s="1" t="s">
        <v>41</v>
      </c>
      <c r="E2190" s="3">
        <v>1890895</v>
      </c>
      <c r="F2190" s="1">
        <v>1819.9181905678499</v>
      </c>
      <c r="G2190" s="1">
        <v>4.5</v>
      </c>
      <c r="H2190" s="1">
        <v>2</v>
      </c>
      <c r="I2190" s="1">
        <v>2</v>
      </c>
      <c r="J2190" s="1">
        <v>2</v>
      </c>
      <c r="M2190" s="4">
        <v>1039</v>
      </c>
      <c r="N2190" s="1">
        <v>896</v>
      </c>
      <c r="O2190" s="1">
        <v>2057</v>
      </c>
      <c r="P2190" s="1">
        <v>1161</v>
      </c>
      <c r="Q2190" s="1" t="s">
        <v>42</v>
      </c>
      <c r="S2190" s="1" t="s">
        <v>42</v>
      </c>
      <c r="T2190" s="1" t="s">
        <v>203</v>
      </c>
      <c r="V2190" s="5">
        <v>43651</v>
      </c>
      <c r="W2190" s="5">
        <v>42253</v>
      </c>
      <c r="X2190" s="1">
        <v>1850000</v>
      </c>
      <c r="Y2190" s="1">
        <v>1850000</v>
      </c>
      <c r="Z2190" s="5">
        <v>42253</v>
      </c>
      <c r="AA2190" s="1">
        <v>1890895</v>
      </c>
      <c r="AB2190" s="1" t="s">
        <v>1708</v>
      </c>
      <c r="AC2190" s="5">
        <v>42269</v>
      </c>
      <c r="AF2190" s="1">
        <v>10019</v>
      </c>
      <c r="AI2190" s="1" t="s">
        <v>76</v>
      </c>
      <c r="AJ2190" s="1">
        <v>2017</v>
      </c>
      <c r="AK2190" s="1" t="s">
        <v>50</v>
      </c>
      <c r="AL2190" s="1">
        <v>248</v>
      </c>
    </row>
    <row r="2191" spans="1:38" x14ac:dyDescent="0.2">
      <c r="A2191" s="2" t="str">
        <f>HYPERLINK("https://www.compass.com/listing/301-west-53rd-street-unit-5f-manhattan-ny-10019/181057895608188449/","301 W 53rd St, Unit 5F")</f>
        <v>301 W 53rd St, Unit 5F</v>
      </c>
      <c r="B2191" s="2" t="str">
        <f t="shared" si="367"/>
        <v>Fifty Third and Eighth</v>
      </c>
      <c r="C2191" s="1" t="s">
        <v>57</v>
      </c>
      <c r="D2191" s="1" t="s">
        <v>41</v>
      </c>
      <c r="E2191" s="3">
        <v>1711868</v>
      </c>
      <c r="F2191" s="1">
        <v>1646.02692307692</v>
      </c>
      <c r="G2191" s="1">
        <v>6</v>
      </c>
      <c r="H2191" s="1">
        <v>3</v>
      </c>
      <c r="I2191" s="1">
        <v>2</v>
      </c>
      <c r="J2191" s="1">
        <v>2</v>
      </c>
      <c r="M2191" s="4">
        <v>1040</v>
      </c>
      <c r="N2191" s="1">
        <v>840</v>
      </c>
      <c r="O2191" s="1">
        <v>2048</v>
      </c>
      <c r="P2191" s="1">
        <v>1208</v>
      </c>
      <c r="Q2191" s="1" t="s">
        <v>42</v>
      </c>
      <c r="S2191" s="1" t="s">
        <v>42</v>
      </c>
      <c r="T2191" s="1" t="s">
        <v>203</v>
      </c>
      <c r="U2191" s="1">
        <v>343</v>
      </c>
      <c r="V2191" s="5">
        <v>43668</v>
      </c>
      <c r="W2191" s="5">
        <v>42237</v>
      </c>
      <c r="X2191" s="1">
        <v>1705000</v>
      </c>
      <c r="Y2191" s="1">
        <v>1705000</v>
      </c>
      <c r="AA2191" s="1">
        <v>1711868</v>
      </c>
      <c r="AB2191" s="1" t="s">
        <v>1709</v>
      </c>
      <c r="AC2191" s="5">
        <v>42581</v>
      </c>
      <c r="AF2191" s="1">
        <v>10019</v>
      </c>
      <c r="AI2191" s="1" t="s">
        <v>76</v>
      </c>
      <c r="AJ2191" s="1">
        <v>2017</v>
      </c>
      <c r="AK2191" s="1" t="s">
        <v>81</v>
      </c>
      <c r="AL2191" s="1">
        <v>248</v>
      </c>
    </row>
    <row r="2192" spans="1:38" x14ac:dyDescent="0.2">
      <c r="A2192" s="2" t="str">
        <f>HYPERLINK("https://www.compass.com/listing/301-west-53rd-street-unit-5k-manhattan-ny-10019/192573782274082113/","301 W 53rd St, Unit 5K")</f>
        <v>301 W 53rd St, Unit 5K</v>
      </c>
      <c r="B2192" s="2" t="str">
        <f t="shared" si="367"/>
        <v>Fifty Third and Eighth</v>
      </c>
      <c r="C2192" s="1" t="s">
        <v>57</v>
      </c>
      <c r="D2192" s="1" t="s">
        <v>41</v>
      </c>
      <c r="E2192" s="3">
        <v>1771868</v>
      </c>
      <c r="F2192" s="1">
        <v>1703.71929807692</v>
      </c>
      <c r="G2192" s="1">
        <v>6</v>
      </c>
      <c r="H2192" s="1">
        <v>3</v>
      </c>
      <c r="I2192" s="1">
        <v>2</v>
      </c>
      <c r="J2192" s="1">
        <v>2</v>
      </c>
      <c r="M2192" s="4">
        <v>1040</v>
      </c>
      <c r="N2192" s="1">
        <v>839</v>
      </c>
      <c r="O2192" s="1">
        <v>2046</v>
      </c>
      <c r="P2192" s="1">
        <v>1207</v>
      </c>
      <c r="Q2192" s="1" t="s">
        <v>42</v>
      </c>
      <c r="S2192" s="1" t="s">
        <v>42</v>
      </c>
      <c r="T2192" s="1" t="s">
        <v>203</v>
      </c>
      <c r="V2192" s="5">
        <v>42525</v>
      </c>
      <c r="W2192" s="5">
        <v>42486</v>
      </c>
      <c r="X2192" s="1">
        <v>1795000</v>
      </c>
      <c r="Y2192" s="1">
        <v>1795000</v>
      </c>
      <c r="AA2192" s="1">
        <v>1771868.07</v>
      </c>
      <c r="AB2192" s="1" t="s">
        <v>1710</v>
      </c>
      <c r="AC2192" s="5">
        <v>42486</v>
      </c>
      <c r="AF2192" s="1">
        <v>10019</v>
      </c>
      <c r="AI2192" s="1" t="s">
        <v>76</v>
      </c>
      <c r="AJ2192" s="1">
        <v>2017</v>
      </c>
      <c r="AK2192" s="1" t="s">
        <v>50</v>
      </c>
      <c r="AL2192" s="1">
        <v>248</v>
      </c>
    </row>
    <row r="2193" spans="1:38" x14ac:dyDescent="0.2">
      <c r="A2193" s="2" t="str">
        <f>HYPERLINK("https://www.compass.com/listing/301-west-53rd-street-unit-6k-manhattan-ny-10019/29388119425955569/","301 W 53rd St, Unit 6K")</f>
        <v>301 W 53rd St, Unit 6K</v>
      </c>
      <c r="B2193" s="2" t="str">
        <f t="shared" si="367"/>
        <v>Fifty Third and Eighth</v>
      </c>
      <c r="C2193" s="1" t="s">
        <v>57</v>
      </c>
      <c r="D2193" s="1" t="s">
        <v>41</v>
      </c>
      <c r="E2193" s="3">
        <v>1833418</v>
      </c>
      <c r="F2193" s="1">
        <v>1762.9019326923001</v>
      </c>
      <c r="G2193" s="1">
        <v>6</v>
      </c>
      <c r="H2193" s="1">
        <v>3</v>
      </c>
      <c r="I2193" s="1">
        <v>2</v>
      </c>
      <c r="J2193" s="1">
        <v>2</v>
      </c>
      <c r="M2193" s="4">
        <v>1040</v>
      </c>
      <c r="N2193" s="1">
        <v>867</v>
      </c>
      <c r="O2193" s="1">
        <v>1991</v>
      </c>
      <c r="P2193" s="1">
        <v>1124</v>
      </c>
      <c r="Q2193" s="1" t="s">
        <v>42</v>
      </c>
      <c r="S2193" s="1" t="s">
        <v>42</v>
      </c>
      <c r="T2193" s="1" t="s">
        <v>203</v>
      </c>
      <c r="U2193" s="1">
        <v>454</v>
      </c>
      <c r="V2193" s="5">
        <v>42978</v>
      </c>
      <c r="W2193" s="5">
        <v>42013</v>
      </c>
      <c r="X2193" s="1">
        <v>1810000</v>
      </c>
      <c r="Y2193" s="1">
        <v>1810000</v>
      </c>
      <c r="AA2193" s="1">
        <v>1833418.01</v>
      </c>
      <c r="AB2193" s="1" t="s">
        <v>1711</v>
      </c>
      <c r="AC2193" s="5">
        <v>42468</v>
      </c>
      <c r="AF2193" s="1">
        <v>10019</v>
      </c>
      <c r="AI2193" s="1" t="s">
        <v>76</v>
      </c>
      <c r="AJ2193" s="1">
        <v>2017</v>
      </c>
      <c r="AK2193" s="1" t="s">
        <v>50</v>
      </c>
      <c r="AL2193" s="1">
        <v>248</v>
      </c>
    </row>
    <row r="2194" spans="1:38" x14ac:dyDescent="0.2">
      <c r="A2194" s="2" t="str">
        <f>HYPERLINK("https://www.compass.com/listing/301-west-53rd-street-unit-8f-manhattan-ny-10019/29388126489227889/","301 W 53rd St, Unit 8F")</f>
        <v>301 W 53rd St, Unit 8F</v>
      </c>
      <c r="B2194" s="2" t="str">
        <f t="shared" si="367"/>
        <v>Fifty Third and Eighth</v>
      </c>
      <c r="C2194" s="1" t="s">
        <v>57</v>
      </c>
      <c r="D2194" s="1" t="s">
        <v>41</v>
      </c>
      <c r="E2194" s="3">
        <v>1781938</v>
      </c>
      <c r="F2194" s="1">
        <v>1713.4014423076901</v>
      </c>
      <c r="G2194" s="1">
        <v>5</v>
      </c>
      <c r="H2194" s="1">
        <v>3</v>
      </c>
      <c r="I2194" s="1">
        <v>2</v>
      </c>
      <c r="J2194" s="1">
        <v>2</v>
      </c>
      <c r="M2194" s="4">
        <v>1040</v>
      </c>
      <c r="N2194" s="1">
        <v>876</v>
      </c>
      <c r="O2194" s="1">
        <v>2011</v>
      </c>
      <c r="P2194" s="1">
        <v>1135</v>
      </c>
      <c r="Q2194" s="1" t="s">
        <v>42</v>
      </c>
      <c r="S2194" s="1" t="s">
        <v>42</v>
      </c>
      <c r="T2194" s="1" t="s">
        <v>203</v>
      </c>
      <c r="U2194" s="1">
        <v>440</v>
      </c>
      <c r="V2194" s="5">
        <v>42978</v>
      </c>
      <c r="W2194" s="5">
        <v>42013</v>
      </c>
      <c r="X2194" s="1">
        <v>1750000</v>
      </c>
      <c r="Y2194" s="1">
        <v>1750000</v>
      </c>
      <c r="AA2194" s="1">
        <v>1781937.5</v>
      </c>
      <c r="AB2194" s="1" t="s">
        <v>1712</v>
      </c>
      <c r="AC2194" s="5">
        <v>42454</v>
      </c>
      <c r="AF2194" s="1">
        <v>10019</v>
      </c>
      <c r="AI2194" s="1" t="s">
        <v>76</v>
      </c>
      <c r="AJ2194" s="1">
        <v>2017</v>
      </c>
      <c r="AK2194" s="1" t="s">
        <v>50</v>
      </c>
      <c r="AL2194" s="1">
        <v>248</v>
      </c>
    </row>
    <row r="2195" spans="1:38" x14ac:dyDescent="0.2">
      <c r="A2195" s="2" t="str">
        <f>HYPERLINK("https://www.compass.com/listing/301-west-53rd-street-unit-13k-manhattan-ny-10019/29388148148605905/","301 W 53rd St, Unit 13K")</f>
        <v>301 W 53rd St, Unit 13K</v>
      </c>
      <c r="B2195" s="2" t="str">
        <f t="shared" si="367"/>
        <v>Fifty Third and Eighth</v>
      </c>
      <c r="C2195" s="1" t="s">
        <v>57</v>
      </c>
      <c r="D2195" s="1" t="s">
        <v>41</v>
      </c>
      <c r="E2195" s="3">
        <v>1962180</v>
      </c>
      <c r="F2195" s="1">
        <v>1886.7115384615299</v>
      </c>
      <c r="G2195" s="1">
        <v>4</v>
      </c>
      <c r="H2195" s="1">
        <v>3</v>
      </c>
      <c r="I2195" s="1">
        <v>2</v>
      </c>
      <c r="J2195" s="1">
        <v>2</v>
      </c>
      <c r="M2195" s="4">
        <v>1040</v>
      </c>
      <c r="N2195" s="1">
        <v>876</v>
      </c>
      <c r="O2195" s="1">
        <v>2461</v>
      </c>
      <c r="P2195" s="1">
        <v>1585</v>
      </c>
      <c r="Q2195" s="1" t="s">
        <v>42</v>
      </c>
      <c r="S2195" s="1" t="s">
        <v>42</v>
      </c>
      <c r="T2195" s="1" t="s">
        <v>203</v>
      </c>
      <c r="V2195" s="5">
        <v>43662</v>
      </c>
      <c r="W2195" s="5">
        <v>42825</v>
      </c>
      <c r="X2195" s="1">
        <v>1920000</v>
      </c>
      <c r="Y2195" s="1">
        <v>1920000</v>
      </c>
      <c r="Z2195" s="5">
        <v>42825</v>
      </c>
      <c r="AA2195" s="1">
        <v>1962180</v>
      </c>
      <c r="AB2195" s="1" t="s">
        <v>1713</v>
      </c>
      <c r="AC2195" s="5">
        <v>42867</v>
      </c>
      <c r="AF2195" s="1">
        <v>10019</v>
      </c>
      <c r="AI2195" s="1" t="s">
        <v>76</v>
      </c>
      <c r="AJ2195" s="1">
        <v>2017</v>
      </c>
      <c r="AK2195" s="1" t="s">
        <v>50</v>
      </c>
      <c r="AL2195" s="1">
        <v>248</v>
      </c>
    </row>
    <row r="2196" spans="1:38" x14ac:dyDescent="0.2">
      <c r="A2196" s="2" t="str">
        <f>HYPERLINK("https://www.compass.com/listing/301-west-53rd-street-unit-16f-manhattan-ny-10019/29388158902809777/","301 W 53rd St, Unit 16F")</f>
        <v>301 W 53rd St, Unit 16F</v>
      </c>
      <c r="B2196" s="2" t="str">
        <f t="shared" si="367"/>
        <v>Fifty Third and Eighth</v>
      </c>
      <c r="C2196" s="1" t="s">
        <v>57</v>
      </c>
      <c r="D2196" s="1" t="s">
        <v>41</v>
      </c>
      <c r="E2196" s="3">
        <v>1885773</v>
      </c>
      <c r="F2196" s="1">
        <v>1813.2428749999999</v>
      </c>
      <c r="G2196" s="1">
        <v>6</v>
      </c>
      <c r="H2196" s="1">
        <v>3</v>
      </c>
      <c r="I2196" s="1">
        <v>2</v>
      </c>
      <c r="J2196" s="1">
        <v>2</v>
      </c>
      <c r="M2196" s="4">
        <v>1040</v>
      </c>
      <c r="N2196" s="1">
        <v>910</v>
      </c>
      <c r="O2196" s="1">
        <v>2089</v>
      </c>
      <c r="P2196" s="1">
        <v>1179</v>
      </c>
      <c r="Q2196" s="1" t="s">
        <v>42</v>
      </c>
      <c r="S2196" s="1" t="s">
        <v>42</v>
      </c>
      <c r="T2196" s="1" t="s">
        <v>203</v>
      </c>
      <c r="U2196" s="1">
        <v>548</v>
      </c>
      <c r="V2196" s="5">
        <v>42978</v>
      </c>
      <c r="W2196" s="5">
        <v>42013</v>
      </c>
      <c r="X2196" s="1">
        <v>1870000</v>
      </c>
      <c r="Y2196" s="1">
        <v>1870000</v>
      </c>
      <c r="AA2196" s="1">
        <v>1885772.59</v>
      </c>
      <c r="AB2196" s="1" t="s">
        <v>1714</v>
      </c>
      <c r="AC2196" s="5">
        <v>42562</v>
      </c>
      <c r="AF2196" s="1">
        <v>10019</v>
      </c>
      <c r="AI2196" s="1" t="s">
        <v>76</v>
      </c>
      <c r="AJ2196" s="1">
        <v>2017</v>
      </c>
      <c r="AK2196" s="1" t="s">
        <v>50</v>
      </c>
      <c r="AL2196" s="1">
        <v>248</v>
      </c>
    </row>
    <row r="2197" spans="1:38" x14ac:dyDescent="0.2">
      <c r="A2197" s="2" t="str">
        <f>HYPERLINK("https://www.compass.com/listing/301-west-53rd-street-unit-17f-manhattan-ny-10019/29388163885643009/","301 W 53rd St, Unit 17F")</f>
        <v>301 W 53rd St, Unit 17F</v>
      </c>
      <c r="B2197" s="2" t="str">
        <f t="shared" si="367"/>
        <v>Fifty Third and Eighth</v>
      </c>
      <c r="C2197" s="1" t="s">
        <v>57</v>
      </c>
      <c r="D2197" s="1" t="s">
        <v>41</v>
      </c>
      <c r="E2197" s="3">
        <v>1900848</v>
      </c>
      <c r="F2197" s="1">
        <v>1827.7384615384599</v>
      </c>
      <c r="G2197" s="1">
        <v>6</v>
      </c>
      <c r="H2197" s="1">
        <v>3</v>
      </c>
      <c r="I2197" s="1">
        <v>2</v>
      </c>
      <c r="J2197" s="1">
        <v>2</v>
      </c>
      <c r="M2197" s="4">
        <v>1040</v>
      </c>
      <c r="N2197" s="1">
        <v>892</v>
      </c>
      <c r="O2197" s="1">
        <v>2507</v>
      </c>
      <c r="P2197" s="1">
        <v>1615</v>
      </c>
      <c r="Q2197" s="1" t="s">
        <v>42</v>
      </c>
      <c r="S2197" s="1" t="s">
        <v>42</v>
      </c>
      <c r="T2197" s="1" t="s">
        <v>203</v>
      </c>
      <c r="V2197" s="5">
        <v>43664</v>
      </c>
      <c r="W2197" s="5">
        <v>42658</v>
      </c>
      <c r="X2197" s="1">
        <v>1885000</v>
      </c>
      <c r="Y2197" s="1">
        <v>1885000</v>
      </c>
      <c r="Z2197" s="5">
        <v>42658</v>
      </c>
      <c r="AA2197" s="1">
        <v>1900848</v>
      </c>
      <c r="AB2197" s="1" t="s">
        <v>1715</v>
      </c>
      <c r="AC2197" s="5">
        <v>42706</v>
      </c>
      <c r="AF2197" s="1">
        <v>10019</v>
      </c>
      <c r="AI2197" s="1" t="s">
        <v>76</v>
      </c>
      <c r="AJ2197" s="1">
        <v>2017</v>
      </c>
      <c r="AK2197" s="1" t="s">
        <v>81</v>
      </c>
      <c r="AL2197" s="1">
        <v>248</v>
      </c>
    </row>
    <row r="2198" spans="1:38" x14ac:dyDescent="0.2">
      <c r="A2198" s="2" t="str">
        <f>HYPERLINK("https://www.compass.com/listing/301-west-53rd-street-unit-20f-manhattan-ny-10019/29388174094515089/","301 W 53rd St, Unit 20F")</f>
        <v>301 W 53rd St, Unit 20F</v>
      </c>
      <c r="B2198" s="2" t="str">
        <f t="shared" si="367"/>
        <v>Fifty Third and Eighth</v>
      </c>
      <c r="C2198" s="1" t="s">
        <v>57</v>
      </c>
      <c r="D2198" s="1" t="s">
        <v>41</v>
      </c>
      <c r="E2198" s="3">
        <v>1954987</v>
      </c>
      <c r="F2198" s="1">
        <v>1879.7951923076901</v>
      </c>
      <c r="G2198" s="1">
        <v>5</v>
      </c>
      <c r="H2198" s="1">
        <v>3</v>
      </c>
      <c r="I2198" s="1">
        <v>2</v>
      </c>
      <c r="J2198" s="1">
        <v>2</v>
      </c>
      <c r="M2198" s="4">
        <v>1040</v>
      </c>
      <c r="N2198" s="1">
        <v>905</v>
      </c>
      <c r="O2198" s="1">
        <v>2543</v>
      </c>
      <c r="P2198" s="1">
        <v>1638</v>
      </c>
      <c r="Q2198" s="1" t="s">
        <v>42</v>
      </c>
      <c r="S2198" s="1" t="s">
        <v>42</v>
      </c>
      <c r="T2198" s="1" t="s">
        <v>203</v>
      </c>
      <c r="V2198" s="5">
        <v>43668</v>
      </c>
      <c r="W2198" s="5">
        <v>42788</v>
      </c>
      <c r="X2198" s="1">
        <v>1930000</v>
      </c>
      <c r="Y2198" s="1">
        <v>1930000</v>
      </c>
      <c r="Z2198" s="5">
        <v>42788</v>
      </c>
      <c r="AA2198" s="1">
        <v>1954987</v>
      </c>
      <c r="AB2198" s="1" t="s">
        <v>1716</v>
      </c>
      <c r="AC2198" s="5">
        <v>42894</v>
      </c>
      <c r="AF2198" s="1">
        <v>10019</v>
      </c>
      <c r="AI2198" s="1" t="s">
        <v>76</v>
      </c>
      <c r="AJ2198" s="1">
        <v>2017</v>
      </c>
      <c r="AK2198" s="1" t="s">
        <v>50</v>
      </c>
      <c r="AL2198" s="1">
        <v>248</v>
      </c>
    </row>
    <row r="2199" spans="1:38" x14ac:dyDescent="0.2">
      <c r="A2199" s="2" t="str">
        <f>HYPERLINK("https://www.compass.com/listing/301-west-53rd-street-unit-9e-manhattan-ny-10019/803409472219249177/","301 W 53rd St, Unit 9E")</f>
        <v>301 W 53rd St, Unit 9E</v>
      </c>
      <c r="B2199" s="2" t="str">
        <f t="shared" si="367"/>
        <v>Fifty Third and Eighth</v>
      </c>
      <c r="C2199" s="1" t="s">
        <v>57</v>
      </c>
      <c r="D2199" s="1" t="s">
        <v>41</v>
      </c>
      <c r="E2199" s="3">
        <v>1821497</v>
      </c>
      <c r="F2199" s="1">
        <v>1753.12477382098</v>
      </c>
      <c r="G2199" s="1">
        <v>6</v>
      </c>
      <c r="H2199" s="1">
        <v>3</v>
      </c>
      <c r="I2199" s="1">
        <v>2</v>
      </c>
      <c r="J2199" s="1">
        <v>2</v>
      </c>
      <c r="M2199" s="4">
        <v>1039</v>
      </c>
      <c r="N2199" s="1">
        <v>855</v>
      </c>
      <c r="O2199" s="1">
        <v>2085</v>
      </c>
      <c r="P2199" s="1">
        <v>1230</v>
      </c>
      <c r="Q2199" s="1" t="s">
        <v>42</v>
      </c>
      <c r="S2199" s="1" t="s">
        <v>42</v>
      </c>
      <c r="T2199" s="1" t="s">
        <v>203</v>
      </c>
      <c r="U2199" s="1">
        <v>19</v>
      </c>
      <c r="V2199" s="5">
        <v>42612</v>
      </c>
      <c r="W2199" s="5">
        <v>42515</v>
      </c>
      <c r="X2199" s="1">
        <v>1790000</v>
      </c>
      <c r="Y2199" s="1">
        <v>1790000</v>
      </c>
      <c r="Z2199" s="5">
        <v>42535</v>
      </c>
      <c r="AA2199" s="1">
        <v>1821496.64</v>
      </c>
      <c r="AB2199" s="1" t="s">
        <v>1717</v>
      </c>
      <c r="AC2199" s="5">
        <v>42587</v>
      </c>
      <c r="AF2199" s="1">
        <v>10019</v>
      </c>
      <c r="AI2199" s="1" t="s">
        <v>76</v>
      </c>
      <c r="AJ2199" s="1">
        <v>2017</v>
      </c>
      <c r="AK2199" s="1" t="s">
        <v>50</v>
      </c>
      <c r="AL2199" s="1">
        <v>248</v>
      </c>
    </row>
    <row r="2200" spans="1:38" x14ac:dyDescent="0.2">
      <c r="A2200" s="2" t="str">
        <f>HYPERLINK("https://www.compass.com/listing/301-west-53rd-street-unit-14gh-manhattan-ny-10019/4852281422460754945/","301 W 53rd St, Unit 14GH")</f>
        <v>301 W 53rd St, Unit 14GH</v>
      </c>
      <c r="B2200" s="2" t="str">
        <f t="shared" si="367"/>
        <v>Fifty Third and Eighth</v>
      </c>
      <c r="C2200" s="1" t="s">
        <v>57</v>
      </c>
      <c r="D2200" s="1" t="s">
        <v>41</v>
      </c>
      <c r="E2200" s="3">
        <v>2520000</v>
      </c>
      <c r="F2200" s="1">
        <v>1873.6059479553901</v>
      </c>
      <c r="G2200" s="1">
        <v>4</v>
      </c>
      <c r="H2200" s="1">
        <v>2</v>
      </c>
      <c r="I2200" s="1">
        <v>3</v>
      </c>
      <c r="J2200" s="1">
        <v>2.5</v>
      </c>
      <c r="M2200" s="4">
        <v>1345</v>
      </c>
      <c r="N2200" s="1">
        <v>1138</v>
      </c>
      <c r="O2200" s="1">
        <v>3198</v>
      </c>
      <c r="P2200" s="1">
        <v>2060</v>
      </c>
      <c r="Q2200" s="1" t="s">
        <v>42</v>
      </c>
      <c r="S2200" s="1" t="s">
        <v>42</v>
      </c>
      <c r="T2200" s="1" t="s">
        <v>203</v>
      </c>
      <c r="U2200" s="1">
        <v>102</v>
      </c>
      <c r="V2200" s="5">
        <v>43649</v>
      </c>
      <c r="W2200" s="5">
        <v>42804</v>
      </c>
      <c r="X2200" s="1">
        <v>2520000</v>
      </c>
      <c r="Y2200" s="1">
        <v>2520000</v>
      </c>
      <c r="Z2200" s="5">
        <v>42906</v>
      </c>
      <c r="AA2200" s="1">
        <v>2520000</v>
      </c>
      <c r="AB2200" s="1" t="s">
        <v>204</v>
      </c>
      <c r="AC2200" s="5">
        <v>42999</v>
      </c>
      <c r="AF2200" s="1">
        <v>10019</v>
      </c>
      <c r="AI2200" s="1" t="s">
        <v>76</v>
      </c>
      <c r="AJ2200" s="1">
        <v>2017</v>
      </c>
      <c r="AK2200" s="1" t="s">
        <v>50</v>
      </c>
      <c r="AL2200" s="1">
        <v>248</v>
      </c>
    </row>
    <row r="2201" spans="1:38" x14ac:dyDescent="0.2">
      <c r="A2201" s="2" t="str">
        <f>HYPERLINK("https://www.compass.com/listing/301-west-53rd-street-unit-15e-manhattan-ny-10019/29388154515503681/","301 W 53rd St, Unit 15E")</f>
        <v>301 W 53rd St, Unit 15E</v>
      </c>
      <c r="B2201" s="2" t="str">
        <f t="shared" si="367"/>
        <v>Fifty Third and Eighth</v>
      </c>
      <c r="C2201" s="1" t="s">
        <v>57</v>
      </c>
      <c r="D2201" s="1" t="s">
        <v>41</v>
      </c>
      <c r="E2201" s="3">
        <v>1970000</v>
      </c>
      <c r="F2201" s="1">
        <v>1896.05389797882</v>
      </c>
      <c r="G2201" s="1">
        <v>4</v>
      </c>
      <c r="H2201" s="1">
        <v>2</v>
      </c>
      <c r="I2201" s="1">
        <v>2</v>
      </c>
      <c r="J2201" s="1">
        <v>2</v>
      </c>
      <c r="M2201" s="4">
        <v>1039</v>
      </c>
      <c r="N2201" s="1">
        <v>883</v>
      </c>
      <c r="O2201" s="1">
        <v>2664</v>
      </c>
      <c r="P2201" s="1">
        <v>1781</v>
      </c>
      <c r="Q2201" s="1" t="s">
        <v>42</v>
      </c>
      <c r="S2201" s="1" t="s">
        <v>42</v>
      </c>
      <c r="T2201" s="1" t="s">
        <v>203</v>
      </c>
      <c r="U2201" s="1">
        <v>28</v>
      </c>
      <c r="V2201" s="5">
        <v>43648</v>
      </c>
      <c r="W2201" s="5">
        <v>43172</v>
      </c>
      <c r="X2201" s="1">
        <v>2100000</v>
      </c>
      <c r="Y2201" s="1">
        <v>2100000</v>
      </c>
      <c r="Z2201" s="5">
        <v>43200</v>
      </c>
      <c r="AA2201" s="1">
        <v>1970000</v>
      </c>
      <c r="AB2201" s="1" t="s">
        <v>1718</v>
      </c>
      <c r="AC2201" s="5">
        <v>43244</v>
      </c>
      <c r="AF2201" s="1">
        <v>10019</v>
      </c>
      <c r="AI2201" s="1" t="s">
        <v>1719</v>
      </c>
      <c r="AJ2201" s="1">
        <v>2017</v>
      </c>
      <c r="AK2201" s="1" t="s">
        <v>50</v>
      </c>
      <c r="AL2201" s="1">
        <v>248</v>
      </c>
    </row>
    <row r="2202" spans="1:38" x14ac:dyDescent="0.2">
      <c r="A2202" s="2" t="str">
        <f>HYPERLINK("https://www.compass.com/listing/301-west-53rd-street-unit-24f-manhattan-ny-10019/29388187759613649/","301 W 53rd St, Unit 24F")</f>
        <v>301 W 53rd St, Unit 24F</v>
      </c>
      <c r="B2202" s="2" t="str">
        <f t="shared" si="367"/>
        <v>Fifty Third and Eighth</v>
      </c>
      <c r="C2202" s="1" t="s">
        <v>57</v>
      </c>
      <c r="D2202" s="1" t="s">
        <v>41</v>
      </c>
      <c r="E2202" s="3">
        <v>1997510</v>
      </c>
      <c r="F2202" s="1">
        <v>1920.6826923076901</v>
      </c>
      <c r="G2202" s="1">
        <v>4</v>
      </c>
      <c r="H2202" s="1">
        <v>2</v>
      </c>
      <c r="I2202" s="1">
        <v>2</v>
      </c>
      <c r="J2202" s="1">
        <v>2</v>
      </c>
      <c r="K2202" s="1">
        <v>2</v>
      </c>
      <c r="M2202" s="4">
        <v>1040</v>
      </c>
      <c r="N2202" s="1">
        <v>944</v>
      </c>
      <c r="O2202" s="1">
        <v>2167</v>
      </c>
      <c r="P2202" s="1">
        <v>1223</v>
      </c>
      <c r="Q2202" s="1" t="s">
        <v>42</v>
      </c>
      <c r="S2202" s="1" t="s">
        <v>42</v>
      </c>
      <c r="T2202" s="1" t="s">
        <v>203</v>
      </c>
      <c r="V2202" s="5">
        <v>44225</v>
      </c>
      <c r="W2202" s="5">
        <v>42507</v>
      </c>
      <c r="X2202" s="1">
        <v>1990000</v>
      </c>
      <c r="Y2202" s="1">
        <v>1990000</v>
      </c>
      <c r="Z2202" s="5">
        <v>42507</v>
      </c>
      <c r="AA2202" s="1">
        <v>1997510</v>
      </c>
      <c r="AB2202" s="1" t="s">
        <v>1720</v>
      </c>
      <c r="AC2202" s="5">
        <v>42529</v>
      </c>
      <c r="AF2202" s="1">
        <v>10019</v>
      </c>
      <c r="AI2202" s="1" t="s">
        <v>76</v>
      </c>
      <c r="AJ2202" s="1">
        <v>2017</v>
      </c>
      <c r="AK2202" s="1" t="s">
        <v>50</v>
      </c>
      <c r="AL2202" s="1">
        <v>248</v>
      </c>
    </row>
    <row r="2203" spans="1:38" x14ac:dyDescent="0.2">
      <c r="A2203" s="2" t="str">
        <f>HYPERLINK("https://www.compass.com/listing/301-west-53rd-street-unit-12e-manhattan-ny-10019/70918821971580545/","301 W 53rd St, Unit 12E")</f>
        <v>301 W 53rd St, Unit 12E</v>
      </c>
      <c r="B2203" s="2" t="str">
        <f t="shared" si="367"/>
        <v>Fifty Third and Eighth</v>
      </c>
      <c r="C2203" s="1" t="s">
        <v>57</v>
      </c>
      <c r="D2203" s="1" t="s">
        <v>41</v>
      </c>
      <c r="E2203" s="3">
        <v>1875586</v>
      </c>
      <c r="F2203" s="1">
        <v>1803.4480769230699</v>
      </c>
      <c r="G2203" s="1">
        <v>4.5</v>
      </c>
      <c r="H2203" s="1">
        <v>2</v>
      </c>
      <c r="I2203" s="1">
        <v>2</v>
      </c>
      <c r="J2203" s="1">
        <v>2</v>
      </c>
      <c r="K2203" s="1">
        <v>2</v>
      </c>
      <c r="M2203" s="4">
        <v>1040</v>
      </c>
      <c r="N2203" s="1">
        <v>892</v>
      </c>
      <c r="O2203" s="1">
        <v>2048</v>
      </c>
      <c r="P2203" s="1">
        <v>1156</v>
      </c>
      <c r="Q2203" s="1" t="s">
        <v>42</v>
      </c>
      <c r="S2203" s="1" t="s">
        <v>42</v>
      </c>
      <c r="T2203" s="1" t="s">
        <v>203</v>
      </c>
      <c r="U2203" s="1">
        <v>238</v>
      </c>
      <c r="V2203" s="5">
        <v>44423</v>
      </c>
      <c r="W2203" s="5">
        <v>42013</v>
      </c>
      <c r="Y2203" s="1">
        <v>1835000</v>
      </c>
      <c r="Z2203" s="5">
        <v>42252</v>
      </c>
      <c r="AA2203" s="1">
        <v>1875586</v>
      </c>
      <c r="AB2203" s="1" t="s">
        <v>1721</v>
      </c>
      <c r="AC2203" s="5">
        <v>42257</v>
      </c>
      <c r="AF2203" s="1">
        <v>10019</v>
      </c>
      <c r="AI2203" s="1" t="s">
        <v>76</v>
      </c>
      <c r="AJ2203" s="1">
        <v>2017</v>
      </c>
      <c r="AK2203" s="1" t="s">
        <v>50</v>
      </c>
      <c r="AL2203" s="1">
        <v>248</v>
      </c>
    </row>
    <row r="2204" spans="1:38" x14ac:dyDescent="0.2">
      <c r="A2204" s="2" t="str">
        <f>HYPERLINK("https://www.compass.com/listing/301-west-53rd-street-unit-18e-manhattan-ny-10019/541278149171353425/","301 W 53rd St, Unit 18E")</f>
        <v>301 W 53rd St, Unit 18E</v>
      </c>
      <c r="B2204" s="2" t="str">
        <f t="shared" si="367"/>
        <v>Fifty Third and Eighth</v>
      </c>
      <c r="C2204" s="1" t="s">
        <v>57</v>
      </c>
      <c r="D2204" s="1" t="s">
        <v>41</v>
      </c>
      <c r="E2204" s="3">
        <v>1555000</v>
      </c>
      <c r="F2204" s="1">
        <v>1496.63137632338</v>
      </c>
      <c r="G2204" s="1">
        <v>4.5</v>
      </c>
      <c r="H2204" s="1">
        <v>2</v>
      </c>
      <c r="I2204" s="1">
        <v>2</v>
      </c>
      <c r="J2204" s="1">
        <v>2</v>
      </c>
      <c r="K2204" s="1">
        <v>2</v>
      </c>
      <c r="M2204" s="4">
        <v>1039</v>
      </c>
      <c r="N2204" s="1">
        <v>1024</v>
      </c>
      <c r="O2204" s="1">
        <v>2464</v>
      </c>
      <c r="P2204" s="1">
        <v>1440</v>
      </c>
      <c r="Q2204" s="1" t="s">
        <v>42</v>
      </c>
      <c r="S2204" s="1" t="s">
        <v>42</v>
      </c>
      <c r="T2204" s="1" t="s">
        <v>203</v>
      </c>
      <c r="U2204" s="1">
        <v>52</v>
      </c>
      <c r="V2204" s="5">
        <v>44227</v>
      </c>
      <c r="W2204" s="5">
        <v>43997</v>
      </c>
      <c r="X2204" s="1">
        <v>1699000</v>
      </c>
      <c r="Y2204" s="1">
        <v>1599000</v>
      </c>
      <c r="Z2204" s="5">
        <v>44057</v>
      </c>
      <c r="AA2204" s="1">
        <v>1555000</v>
      </c>
      <c r="AB2204" s="1" t="s">
        <v>1722</v>
      </c>
      <c r="AC2204" s="5">
        <v>44127</v>
      </c>
      <c r="AF2204" s="1">
        <v>10019</v>
      </c>
      <c r="AI2204" s="1" t="s">
        <v>154</v>
      </c>
      <c r="AJ2204" s="1">
        <v>2017</v>
      </c>
      <c r="AK2204" s="1" t="s">
        <v>81</v>
      </c>
      <c r="AL2204" s="1">
        <v>248</v>
      </c>
    </row>
    <row r="2205" spans="1:38" x14ac:dyDescent="0.2">
      <c r="A2205" s="2" t="str">
        <f>HYPERLINK("https://www.compass.com/listing/301-west-53rd-street-unit-2ij-manhattan-ny-10019/4852306645889319313/","301 W 53rd St, Unit 2IJ")</f>
        <v>301 W 53rd St, Unit 2IJ</v>
      </c>
      <c r="B2205" s="2" t="str">
        <f t="shared" si="367"/>
        <v>Fifty Third and Eighth</v>
      </c>
      <c r="C2205" s="1" t="s">
        <v>57</v>
      </c>
      <c r="D2205" s="1" t="s">
        <v>41</v>
      </c>
      <c r="E2205" s="3">
        <v>2470000</v>
      </c>
      <c r="F2205" s="1">
        <v>1836.4312267657899</v>
      </c>
      <c r="G2205" s="1">
        <v>4</v>
      </c>
      <c r="H2205" s="1">
        <v>2</v>
      </c>
      <c r="I2205" s="1">
        <v>3</v>
      </c>
      <c r="J2205" s="1">
        <v>2.5</v>
      </c>
      <c r="M2205" s="4">
        <v>1345</v>
      </c>
      <c r="N2205" s="1">
        <v>1201</v>
      </c>
      <c r="O2205" s="1">
        <v>2928</v>
      </c>
      <c r="P2205" s="1">
        <v>1727</v>
      </c>
      <c r="Q2205" s="1" t="s">
        <v>42</v>
      </c>
      <c r="S2205" s="1" t="s">
        <v>42</v>
      </c>
      <c r="T2205" s="1" t="s">
        <v>203</v>
      </c>
      <c r="V2205" s="5">
        <v>43651</v>
      </c>
      <c r="W2205" s="5">
        <v>42327</v>
      </c>
      <c r="X2205" s="1">
        <v>2370000</v>
      </c>
      <c r="Y2205" s="1">
        <v>2370000</v>
      </c>
      <c r="Z2205" s="5">
        <v>42327</v>
      </c>
      <c r="AA2205" s="1">
        <v>2470000</v>
      </c>
      <c r="AB2205" s="1" t="s">
        <v>204</v>
      </c>
      <c r="AC2205" s="5">
        <v>42426</v>
      </c>
      <c r="AF2205" s="1">
        <v>10019</v>
      </c>
      <c r="AI2205" s="1" t="s">
        <v>76</v>
      </c>
      <c r="AJ2205" s="1">
        <v>2017</v>
      </c>
      <c r="AK2205" s="1" t="s">
        <v>50</v>
      </c>
      <c r="AL2205" s="1">
        <v>248</v>
      </c>
    </row>
    <row r="2206" spans="1:38" x14ac:dyDescent="0.2">
      <c r="A2206" s="2" t="str">
        <f>HYPERLINK("https://www.compass.com/listing/301-west-53rd-street-unit-3e-manhattan-ny-10019/29507298686703345/","301 W 53rd St, Unit 3E")</f>
        <v>301 W 53rd St, Unit 3E</v>
      </c>
      <c r="B2206" s="2" t="str">
        <f t="shared" si="367"/>
        <v>Fifty Third and Eighth</v>
      </c>
      <c r="C2206" s="1" t="s">
        <v>57</v>
      </c>
      <c r="D2206" s="1" t="s">
        <v>41</v>
      </c>
      <c r="E2206" s="3">
        <v>1676794</v>
      </c>
      <c r="F2206" s="1">
        <v>1613.8538594802601</v>
      </c>
      <c r="G2206" s="1">
        <v>6</v>
      </c>
      <c r="H2206" s="1">
        <v>2</v>
      </c>
      <c r="I2206" s="1">
        <v>2</v>
      </c>
      <c r="J2206" s="1">
        <v>2</v>
      </c>
      <c r="K2206" s="1">
        <v>2</v>
      </c>
      <c r="M2206" s="4">
        <v>1039</v>
      </c>
      <c r="N2206" s="1">
        <v>917</v>
      </c>
      <c r="O2206" s="1">
        <v>2277</v>
      </c>
      <c r="P2206" s="1">
        <v>1360</v>
      </c>
      <c r="Q2206" s="1" t="s">
        <v>42</v>
      </c>
      <c r="S2206" s="1" t="s">
        <v>42</v>
      </c>
      <c r="T2206" s="1" t="s">
        <v>203</v>
      </c>
      <c r="U2206" s="1">
        <v>1568</v>
      </c>
      <c r="V2206" s="5">
        <v>43683</v>
      </c>
      <c r="W2206" s="5">
        <v>42013</v>
      </c>
      <c r="X2206" s="1">
        <v>1850000</v>
      </c>
      <c r="Y2206" s="1">
        <v>1850000</v>
      </c>
      <c r="AA2206" s="1">
        <v>1676794.16</v>
      </c>
      <c r="AB2206" s="1" t="s">
        <v>1723</v>
      </c>
      <c r="AC2206" s="5">
        <v>43671</v>
      </c>
      <c r="AF2206" s="1">
        <v>10019</v>
      </c>
      <c r="AI2206" s="1" t="s">
        <v>76</v>
      </c>
      <c r="AJ2206" s="1">
        <v>2017</v>
      </c>
      <c r="AK2206" s="1" t="s">
        <v>50</v>
      </c>
      <c r="AL2206" s="1">
        <v>248</v>
      </c>
    </row>
    <row r="2207" spans="1:38" x14ac:dyDescent="0.2">
      <c r="A2207" s="2" t="str">
        <f>HYPERLINK("https://www.compass.com/listing/301-west-53rd-street-unit-19ij-manhattan-ny-10019/4852306650746324385/","301 W 53rd St, Unit 19IJ")</f>
        <v>301 W 53rd St, Unit 19IJ</v>
      </c>
      <c r="B2207" s="2" t="str">
        <f t="shared" si="367"/>
        <v>Fifty Third and Eighth</v>
      </c>
      <c r="C2207" s="1" t="s">
        <v>57</v>
      </c>
      <c r="D2207" s="1" t="s">
        <v>41</v>
      </c>
      <c r="E2207" s="3">
        <v>2425000</v>
      </c>
      <c r="F2207" s="1">
        <v>1802.9739776951601</v>
      </c>
      <c r="G2207" s="1">
        <v>4</v>
      </c>
      <c r="H2207" s="1">
        <v>2</v>
      </c>
      <c r="I2207" s="1">
        <v>3</v>
      </c>
      <c r="J2207" s="1">
        <v>2.5</v>
      </c>
      <c r="M2207" s="4">
        <v>1345</v>
      </c>
      <c r="N2207" s="1">
        <v>1153</v>
      </c>
      <c r="O2207" s="1">
        <v>2812</v>
      </c>
      <c r="P2207" s="1">
        <v>1659</v>
      </c>
      <c r="Q2207" s="1" t="s">
        <v>42</v>
      </c>
      <c r="S2207" s="1" t="s">
        <v>42</v>
      </c>
      <c r="T2207" s="1" t="s">
        <v>203</v>
      </c>
      <c r="V2207" s="5">
        <v>43678</v>
      </c>
      <c r="W2207" s="5">
        <v>42396</v>
      </c>
      <c r="X2207" s="1">
        <v>2425000</v>
      </c>
      <c r="Y2207" s="1">
        <v>2425000</v>
      </c>
      <c r="Z2207" s="5">
        <v>42396</v>
      </c>
      <c r="AA2207" s="1">
        <v>2425000</v>
      </c>
      <c r="AB2207" s="1" t="s">
        <v>204</v>
      </c>
      <c r="AC2207" s="5">
        <v>42489</v>
      </c>
      <c r="AF2207" s="1">
        <v>10019</v>
      </c>
      <c r="AI2207" s="1" t="s">
        <v>76</v>
      </c>
      <c r="AJ2207" s="1">
        <v>2017</v>
      </c>
      <c r="AK2207" s="1" t="s">
        <v>50</v>
      </c>
      <c r="AL2207" s="1">
        <v>248</v>
      </c>
    </row>
    <row r="2208" spans="1:38" x14ac:dyDescent="0.2">
      <c r="A2208" s="2" t="str">
        <f>HYPERLINK("https://www.compass.com/listing/301-west-53rd-street-unit-7k-manhattan-ny-10019/29388124006199857/","301 W 53rd St, Unit 7K")</f>
        <v>301 W 53rd St, Unit 7K</v>
      </c>
      <c r="B2208" s="2" t="str">
        <f t="shared" si="367"/>
        <v>Fifty Third and Eighth</v>
      </c>
      <c r="C2208" s="1" t="s">
        <v>57</v>
      </c>
      <c r="D2208" s="1" t="s">
        <v>41</v>
      </c>
      <c r="E2208" s="3">
        <v>1741810</v>
      </c>
      <c r="F2208" s="1">
        <v>1674.8173076922999</v>
      </c>
      <c r="G2208" s="1">
        <v>5</v>
      </c>
      <c r="H2208" s="1">
        <v>3</v>
      </c>
      <c r="I2208" s="1">
        <v>2</v>
      </c>
      <c r="J2208" s="1">
        <v>2</v>
      </c>
      <c r="M2208" s="4">
        <v>1040</v>
      </c>
      <c r="N2208" s="1">
        <v>871</v>
      </c>
      <c r="O2208" s="1">
        <v>2001</v>
      </c>
      <c r="P2208" s="1">
        <v>1130</v>
      </c>
      <c r="Q2208" s="1" t="s">
        <v>42</v>
      </c>
      <c r="S2208" s="1" t="s">
        <v>42</v>
      </c>
      <c r="T2208" s="1" t="s">
        <v>203</v>
      </c>
      <c r="V2208" s="5">
        <v>43650</v>
      </c>
      <c r="W2208" s="5">
        <v>42252</v>
      </c>
      <c r="X2208" s="1">
        <v>1735000</v>
      </c>
      <c r="Y2208" s="1">
        <v>1735000</v>
      </c>
      <c r="Z2208" s="5">
        <v>42252</v>
      </c>
      <c r="AA2208" s="1">
        <v>1741810</v>
      </c>
      <c r="AB2208" s="1" t="s">
        <v>1724</v>
      </c>
      <c r="AC2208" s="5">
        <v>42256</v>
      </c>
      <c r="AF2208" s="1">
        <v>10019</v>
      </c>
      <c r="AI2208" s="1" t="s">
        <v>76</v>
      </c>
      <c r="AJ2208" s="1">
        <v>2017</v>
      </c>
      <c r="AK2208" s="1" t="s">
        <v>50</v>
      </c>
      <c r="AL2208" s="1">
        <v>248</v>
      </c>
    </row>
    <row r="2209" spans="1:38" x14ac:dyDescent="0.2">
      <c r="A2209" s="2" t="str">
        <f>HYPERLINK("https://www.compass.com/listing/301-west-53rd-street-unit-8a-manhattan-ny-10019/29388124459120465/","301 W 53rd St, Unit 8A")</f>
        <v>301 W 53rd St, Unit 8A</v>
      </c>
      <c r="B2209" s="2" t="str">
        <f t="shared" si="367"/>
        <v>Fifty Third and Eighth</v>
      </c>
      <c r="C2209" s="1" t="s">
        <v>57</v>
      </c>
      <c r="D2209" s="1" t="s">
        <v>41</v>
      </c>
      <c r="E2209" s="3">
        <v>1807394</v>
      </c>
      <c r="F2209" s="1">
        <v>1739.5514918190499</v>
      </c>
      <c r="G2209" s="1">
        <v>6</v>
      </c>
      <c r="H2209" s="1">
        <v>3</v>
      </c>
      <c r="I2209" s="1">
        <v>2</v>
      </c>
      <c r="J2209" s="1">
        <v>2</v>
      </c>
      <c r="M2209" s="4">
        <v>1039</v>
      </c>
      <c r="N2209" s="1">
        <v>846</v>
      </c>
      <c r="O2209" s="1">
        <v>2062</v>
      </c>
      <c r="P2209" s="1">
        <v>1216</v>
      </c>
      <c r="Q2209" s="1" t="s">
        <v>42</v>
      </c>
      <c r="S2209" s="1" t="s">
        <v>42</v>
      </c>
      <c r="T2209" s="1" t="s">
        <v>203</v>
      </c>
      <c r="V2209" s="5">
        <v>43651</v>
      </c>
      <c r="W2209" s="5">
        <v>42278</v>
      </c>
      <c r="X2209" s="1">
        <v>1865000</v>
      </c>
      <c r="Y2209" s="1">
        <v>1865000</v>
      </c>
      <c r="Z2209" s="5">
        <v>42278</v>
      </c>
      <c r="AA2209" s="1">
        <v>1807394</v>
      </c>
      <c r="AB2209" s="1" t="s">
        <v>204</v>
      </c>
      <c r="AC2209" s="5">
        <v>42278</v>
      </c>
      <c r="AF2209" s="1">
        <v>10019</v>
      </c>
      <c r="AI2209" s="1" t="s">
        <v>76</v>
      </c>
      <c r="AJ2209" s="1">
        <v>2017</v>
      </c>
      <c r="AK2209" s="1" t="s">
        <v>81</v>
      </c>
      <c r="AL2209" s="1">
        <v>248</v>
      </c>
    </row>
    <row r="2210" spans="1:38" x14ac:dyDescent="0.2">
      <c r="A2210" s="2" t="str">
        <f>HYPERLINK("https://www.compass.com/listing/301-west-53rd-street-unit-8k-manhattan-ny-10019/29388128494096945/","301 W 53rd St, Unit 8K")</f>
        <v>301 W 53rd St, Unit 8K</v>
      </c>
      <c r="B2210" s="2" t="str">
        <f t="shared" si="367"/>
        <v>Fifty Third and Eighth</v>
      </c>
      <c r="C2210" s="1" t="s">
        <v>57</v>
      </c>
      <c r="D2210" s="1" t="s">
        <v>41</v>
      </c>
      <c r="E2210" s="3">
        <v>1772939</v>
      </c>
      <c r="F2210" s="1">
        <v>1704.7490384615301</v>
      </c>
      <c r="G2210" s="1">
        <v>5</v>
      </c>
      <c r="H2210" s="1">
        <v>3</v>
      </c>
      <c r="I2210" s="1">
        <v>2</v>
      </c>
      <c r="J2210" s="1">
        <v>2</v>
      </c>
      <c r="M2210" s="4">
        <v>1040</v>
      </c>
      <c r="N2210" s="1">
        <v>876</v>
      </c>
      <c r="O2210" s="1">
        <v>2011</v>
      </c>
      <c r="P2210" s="1">
        <v>1135</v>
      </c>
      <c r="Q2210" s="1" t="s">
        <v>42</v>
      </c>
      <c r="S2210" s="1" t="s">
        <v>42</v>
      </c>
      <c r="T2210" s="1" t="s">
        <v>203</v>
      </c>
      <c r="V2210" s="5">
        <v>43654</v>
      </c>
      <c r="W2210" s="5">
        <v>42252</v>
      </c>
      <c r="X2210" s="1">
        <v>1750000</v>
      </c>
      <c r="Y2210" s="1">
        <v>1750000</v>
      </c>
      <c r="Z2210" s="5">
        <v>42252</v>
      </c>
      <c r="AA2210" s="1">
        <v>1772939</v>
      </c>
      <c r="AB2210" s="1" t="s">
        <v>1725</v>
      </c>
      <c r="AC2210" s="5">
        <v>42308</v>
      </c>
      <c r="AF2210" s="1">
        <v>10019</v>
      </c>
      <c r="AI2210" s="1" t="s">
        <v>76</v>
      </c>
      <c r="AJ2210" s="1">
        <v>2017</v>
      </c>
      <c r="AK2210" s="1" t="s">
        <v>50</v>
      </c>
      <c r="AL2210" s="1">
        <v>248</v>
      </c>
    </row>
    <row r="2211" spans="1:38" x14ac:dyDescent="0.2">
      <c r="A2211" s="2" t="str">
        <f>HYPERLINK("https://www.compass.com/listing/301-west-53rd-street-unit-9k-manhattan-ny-10019/29388132168307329/","301 W 53rd St, Unit 9K")</f>
        <v>301 W 53rd St, Unit 9K</v>
      </c>
      <c r="B2211" s="2" t="str">
        <f t="shared" si="367"/>
        <v>Fifty Third and Eighth</v>
      </c>
      <c r="C2211" s="1" t="s">
        <v>57</v>
      </c>
      <c r="D2211" s="1" t="s">
        <v>41</v>
      </c>
      <c r="E2211" s="3">
        <v>1788108</v>
      </c>
      <c r="F2211" s="1">
        <v>1719.3346153846101</v>
      </c>
      <c r="G2211" s="1">
        <v>5</v>
      </c>
      <c r="H2211" s="1">
        <v>3</v>
      </c>
      <c r="I2211" s="1">
        <v>2</v>
      </c>
      <c r="J2211" s="1">
        <v>2</v>
      </c>
      <c r="M2211" s="4">
        <v>1040</v>
      </c>
      <c r="N2211" s="1">
        <v>880</v>
      </c>
      <c r="O2211" s="1">
        <v>2021</v>
      </c>
      <c r="P2211" s="1">
        <v>1141</v>
      </c>
      <c r="Q2211" s="1" t="s">
        <v>42</v>
      </c>
      <c r="S2211" s="1" t="s">
        <v>42</v>
      </c>
      <c r="T2211" s="1" t="s">
        <v>203</v>
      </c>
      <c r="V2211" s="5">
        <v>43654</v>
      </c>
      <c r="W2211" s="5">
        <v>42292</v>
      </c>
      <c r="X2211" s="1">
        <v>1855000</v>
      </c>
      <c r="Y2211" s="1">
        <v>1855000</v>
      </c>
      <c r="Z2211" s="5">
        <v>42292</v>
      </c>
      <c r="AA2211" s="1">
        <v>1788108</v>
      </c>
      <c r="AB2211" s="1" t="s">
        <v>1726</v>
      </c>
      <c r="AC2211" s="5">
        <v>42329</v>
      </c>
      <c r="AF2211" s="1">
        <v>10019</v>
      </c>
      <c r="AI2211" s="1" t="s">
        <v>76</v>
      </c>
      <c r="AJ2211" s="1">
        <v>2017</v>
      </c>
      <c r="AK2211" s="1" t="s">
        <v>50</v>
      </c>
      <c r="AL2211" s="1">
        <v>248</v>
      </c>
    </row>
    <row r="2212" spans="1:38" x14ac:dyDescent="0.2">
      <c r="A2212" s="2" t="str">
        <f>HYPERLINK("https://www.compass.com/listing/301-west-53rd-street-unit-11f-manhattan-ny-10019/29388139105686321/","301 W 53rd St, Unit 11F")</f>
        <v>301 W 53rd St, Unit 11F</v>
      </c>
      <c r="B2212" s="2" t="str">
        <f t="shared" si="367"/>
        <v>Fifty Third and Eighth</v>
      </c>
      <c r="C2212" s="1" t="s">
        <v>57</v>
      </c>
      <c r="D2212" s="1" t="s">
        <v>41</v>
      </c>
      <c r="E2212" s="3">
        <v>1818450</v>
      </c>
      <c r="F2212" s="1">
        <v>1750.1924927815201</v>
      </c>
      <c r="G2212" s="1">
        <v>5</v>
      </c>
      <c r="H2212" s="1">
        <v>3</v>
      </c>
      <c r="I2212" s="1">
        <v>2</v>
      </c>
      <c r="J2212" s="1">
        <v>2</v>
      </c>
      <c r="M2212" s="4">
        <v>1039</v>
      </c>
      <c r="N2212" s="1">
        <v>888</v>
      </c>
      <c r="O2212" s="1">
        <v>2040</v>
      </c>
      <c r="P2212" s="1">
        <v>1152</v>
      </c>
      <c r="Q2212" s="1" t="s">
        <v>42</v>
      </c>
      <c r="S2212" s="1" t="s">
        <v>42</v>
      </c>
      <c r="T2212" s="1" t="s">
        <v>203</v>
      </c>
      <c r="V2212" s="5">
        <v>43677</v>
      </c>
      <c r="W2212" s="5">
        <v>42333</v>
      </c>
      <c r="X2212" s="1">
        <v>1795000</v>
      </c>
      <c r="Y2212" s="1">
        <v>1795000</v>
      </c>
      <c r="Z2212" s="5">
        <v>42333</v>
      </c>
      <c r="AA2212" s="1">
        <v>1818450</v>
      </c>
      <c r="AB2212" s="1" t="s">
        <v>1727</v>
      </c>
      <c r="AC2212" s="5">
        <v>42516</v>
      </c>
      <c r="AF2212" s="1">
        <v>10019</v>
      </c>
      <c r="AI2212" s="1" t="s">
        <v>76</v>
      </c>
      <c r="AJ2212" s="1">
        <v>2017</v>
      </c>
      <c r="AK2212" s="1" t="s">
        <v>50</v>
      </c>
      <c r="AL2212" s="1">
        <v>248</v>
      </c>
    </row>
    <row r="2213" spans="1:38" x14ac:dyDescent="0.2">
      <c r="A2213" s="2" t="str">
        <f>HYPERLINK("https://www.compass.com/listing/301-west-53rd-street-unit-12k-manhattan-ny-10019/29388144776393649/","301 W 53rd St, Unit 12K")</f>
        <v>301 W 53rd St, Unit 12K</v>
      </c>
      <c r="B2213" s="2" t="str">
        <f t="shared" si="367"/>
        <v>Fifty Third and Eighth</v>
      </c>
      <c r="C2213" s="1" t="s">
        <v>57</v>
      </c>
      <c r="D2213" s="1" t="s">
        <v>41</v>
      </c>
      <c r="E2213" s="3">
        <v>1850136</v>
      </c>
      <c r="F2213" s="1">
        <v>1778.97692307692</v>
      </c>
      <c r="G2213" s="1">
        <v>5</v>
      </c>
      <c r="H2213" s="1">
        <v>3</v>
      </c>
      <c r="I2213" s="1">
        <v>2</v>
      </c>
      <c r="J2213" s="1">
        <v>2</v>
      </c>
      <c r="M2213" s="4">
        <v>1040</v>
      </c>
      <c r="N2213" s="1">
        <v>893</v>
      </c>
      <c r="O2213" s="1">
        <v>2050</v>
      </c>
      <c r="P2213" s="1">
        <v>1157</v>
      </c>
      <c r="Q2213" s="1" t="s">
        <v>42</v>
      </c>
      <c r="S2213" s="1" t="s">
        <v>42</v>
      </c>
      <c r="T2213" s="1" t="s">
        <v>203</v>
      </c>
      <c r="V2213" s="5">
        <v>43651</v>
      </c>
      <c r="W2213" s="5">
        <v>42252</v>
      </c>
      <c r="X2213" s="1">
        <v>1810000</v>
      </c>
      <c r="Y2213" s="1">
        <v>1810000</v>
      </c>
      <c r="Z2213" s="5">
        <v>42252</v>
      </c>
      <c r="AA2213" s="1">
        <v>1850136</v>
      </c>
      <c r="AB2213" s="1" t="s">
        <v>1728</v>
      </c>
      <c r="AC2213" s="5">
        <v>42272</v>
      </c>
      <c r="AF2213" s="1">
        <v>10019</v>
      </c>
      <c r="AI2213" s="1" t="s">
        <v>76</v>
      </c>
      <c r="AJ2213" s="1">
        <v>2017</v>
      </c>
      <c r="AK2213" s="1" t="s">
        <v>50</v>
      </c>
      <c r="AL2213" s="1">
        <v>248</v>
      </c>
    </row>
    <row r="2214" spans="1:38" x14ac:dyDescent="0.2">
      <c r="A2214" s="2" t="str">
        <f>HYPERLINK("https://www.compass.com/listing/301-west-53rd-street-unit-7a-manhattan-ny-10019/29388119853830529/","301 W 53rd St, Unit 7A")</f>
        <v>301 W 53rd St, Unit 7A</v>
      </c>
      <c r="B2214" s="2" t="str">
        <f t="shared" si="367"/>
        <v>Fifty Third and Eighth</v>
      </c>
      <c r="C2214" s="1" t="s">
        <v>57</v>
      </c>
      <c r="D2214" s="1" t="s">
        <v>41</v>
      </c>
      <c r="E2214" s="3">
        <v>1890691</v>
      </c>
      <c r="F2214" s="1">
        <v>1819.7218479307001</v>
      </c>
      <c r="G2214" s="1">
        <v>6</v>
      </c>
      <c r="H2214" s="1">
        <v>3</v>
      </c>
      <c r="I2214" s="1">
        <v>2</v>
      </c>
      <c r="J2214" s="1">
        <v>2</v>
      </c>
      <c r="M2214" s="4">
        <v>1039</v>
      </c>
      <c r="N2214" s="1">
        <v>842</v>
      </c>
      <c r="O2214" s="1">
        <v>2052</v>
      </c>
      <c r="P2214" s="1">
        <v>1210</v>
      </c>
      <c r="Q2214" s="1" t="s">
        <v>42</v>
      </c>
      <c r="S2214" s="1" t="s">
        <v>42</v>
      </c>
      <c r="T2214" s="1" t="s">
        <v>203</v>
      </c>
      <c r="U2214" s="1">
        <v>237</v>
      </c>
      <c r="V2214" s="5">
        <v>43668</v>
      </c>
      <c r="W2214" s="5">
        <v>42111</v>
      </c>
      <c r="X2214" s="1">
        <v>1850000</v>
      </c>
      <c r="Y2214" s="1">
        <v>1850000</v>
      </c>
      <c r="Z2214" s="5">
        <v>42348</v>
      </c>
      <c r="AA2214" s="1">
        <v>1890691</v>
      </c>
      <c r="AB2214" s="1" t="s">
        <v>1729</v>
      </c>
      <c r="AC2214" s="5">
        <v>42385</v>
      </c>
      <c r="AF2214" s="1">
        <v>10019</v>
      </c>
      <c r="AI2214" s="1" t="s">
        <v>76</v>
      </c>
      <c r="AJ2214" s="1">
        <v>2017</v>
      </c>
      <c r="AK2214" s="1" t="s">
        <v>50</v>
      </c>
      <c r="AL2214" s="1">
        <v>248</v>
      </c>
    </row>
    <row r="2215" spans="1:38" x14ac:dyDescent="0.2">
      <c r="A2215" s="2" t="str">
        <f>HYPERLINK("https://www.compass.com/listing/301-west-53rd-street-unit-24a-manhattan-ny-10019/803339405255293945/","301 W 53rd St, Unit 24A")</f>
        <v>301 W 53rd St, Unit 24A</v>
      </c>
      <c r="B2215" s="2" t="str">
        <f t="shared" si="367"/>
        <v>Fifty Third and Eighth</v>
      </c>
      <c r="C2215" s="1" t="s">
        <v>57</v>
      </c>
      <c r="D2215" s="1" t="s">
        <v>41</v>
      </c>
      <c r="E2215" s="3">
        <v>1940000</v>
      </c>
      <c r="F2215" s="1">
        <v>1867.17998075072</v>
      </c>
      <c r="G2215" s="1">
        <v>4</v>
      </c>
      <c r="H2215" s="1">
        <v>2</v>
      </c>
      <c r="I2215" s="1">
        <v>2</v>
      </c>
      <c r="J2215" s="1">
        <v>2</v>
      </c>
      <c r="K2215" s="1">
        <v>2</v>
      </c>
      <c r="M2215" s="4">
        <v>1039</v>
      </c>
      <c r="N2215" s="1">
        <v>920</v>
      </c>
      <c r="O2215" s="1">
        <v>2159.0299999999902</v>
      </c>
      <c r="P2215" s="1">
        <v>1239</v>
      </c>
      <c r="Q2215" s="1" t="s">
        <v>42</v>
      </c>
      <c r="S2215" s="1" t="s">
        <v>42</v>
      </c>
      <c r="T2215" s="1" t="s">
        <v>203</v>
      </c>
      <c r="U2215" s="1">
        <v>327</v>
      </c>
      <c r="V2215" s="5">
        <v>43708</v>
      </c>
      <c r="W2215" s="5">
        <v>43350</v>
      </c>
      <c r="X2215" s="1">
        <v>1999000</v>
      </c>
      <c r="Y2215" s="1">
        <v>1990000</v>
      </c>
      <c r="AA2215" s="1">
        <v>1940000</v>
      </c>
      <c r="AB2215" s="1" t="s">
        <v>1730</v>
      </c>
      <c r="AC2215" s="5">
        <v>43773</v>
      </c>
      <c r="AF2215" s="1">
        <v>10019</v>
      </c>
      <c r="AI2215" s="1" t="s">
        <v>1525</v>
      </c>
      <c r="AJ2215" s="1">
        <v>2017</v>
      </c>
      <c r="AK2215" s="1" t="s">
        <v>81</v>
      </c>
      <c r="AL2215" s="1">
        <v>248</v>
      </c>
    </row>
    <row r="2216" spans="1:38" x14ac:dyDescent="0.2">
      <c r="A2216" s="2" t="str">
        <f>HYPERLINK("https://www.compass.com/listing/301-west-53rd-street-unit-15f-manhattan-ny-10019/29388154867880993/","301 W 53rd St, Unit 15F")</f>
        <v>301 W 53rd St, Unit 15F</v>
      </c>
      <c r="B2216" s="2" t="str">
        <f t="shared" si="367"/>
        <v>Fifty Third and Eighth</v>
      </c>
      <c r="C2216" s="1" t="s">
        <v>57</v>
      </c>
      <c r="D2216" s="1" t="s">
        <v>41</v>
      </c>
      <c r="E2216" s="3">
        <v>1862207</v>
      </c>
      <c r="F2216" s="1">
        <v>1790.5836538461499</v>
      </c>
      <c r="G2216" s="1">
        <v>5</v>
      </c>
      <c r="H2216" s="1">
        <v>3</v>
      </c>
      <c r="I2216" s="1">
        <v>2</v>
      </c>
      <c r="J2216" s="1">
        <v>2</v>
      </c>
      <c r="M2216" s="4">
        <v>1040</v>
      </c>
      <c r="N2216" s="1">
        <v>884</v>
      </c>
      <c r="O2216" s="1">
        <v>2484</v>
      </c>
      <c r="P2216" s="1">
        <v>1600</v>
      </c>
      <c r="Q2216" s="1" t="s">
        <v>42</v>
      </c>
      <c r="S2216" s="1" t="s">
        <v>42</v>
      </c>
      <c r="T2216" s="1" t="s">
        <v>203</v>
      </c>
      <c r="V2216" s="5">
        <v>43663</v>
      </c>
      <c r="W2216" s="5">
        <v>42626</v>
      </c>
      <c r="X2216" s="1">
        <v>1855000</v>
      </c>
      <c r="Y2216" s="1">
        <v>1855000</v>
      </c>
      <c r="Z2216" s="5">
        <v>42626</v>
      </c>
      <c r="AA2216" s="1">
        <v>1862207</v>
      </c>
      <c r="AB2216" s="1" t="s">
        <v>1731</v>
      </c>
      <c r="AC2216" s="5">
        <v>42770</v>
      </c>
      <c r="AF2216" s="1">
        <v>10019</v>
      </c>
      <c r="AI2216" s="1" t="s">
        <v>76</v>
      </c>
      <c r="AJ2216" s="1">
        <v>2017</v>
      </c>
      <c r="AK2216" s="1" t="s">
        <v>81</v>
      </c>
      <c r="AL2216" s="1">
        <v>248</v>
      </c>
    </row>
    <row r="2217" spans="1:38" x14ac:dyDescent="0.2">
      <c r="A2217" s="2" t="str">
        <f>HYPERLINK("https://www.compass.com/listing/301-west-53rd-street-unit-15k-manhattan-ny-10019/29388156512056449/","301 W 53rd St, Unit 15K")</f>
        <v>301 W 53rd St, Unit 15K</v>
      </c>
      <c r="B2217" s="2" t="str">
        <f t="shared" si="367"/>
        <v>Fifty Third and Eighth</v>
      </c>
      <c r="C2217" s="1" t="s">
        <v>57</v>
      </c>
      <c r="D2217" s="1" t="s">
        <v>41</v>
      </c>
      <c r="E2217" s="3">
        <v>1896061</v>
      </c>
      <c r="F2217" s="1">
        <v>1823.13535576923</v>
      </c>
      <c r="G2217" s="1">
        <v>5</v>
      </c>
      <c r="H2217" s="1">
        <v>3</v>
      </c>
      <c r="I2217" s="1">
        <v>2</v>
      </c>
      <c r="J2217" s="1">
        <v>2</v>
      </c>
      <c r="K2217" s="1">
        <v>2</v>
      </c>
      <c r="M2217" s="4">
        <v>1040</v>
      </c>
      <c r="N2217" s="1">
        <v>905</v>
      </c>
      <c r="O2217" s="1">
        <v>2079</v>
      </c>
      <c r="P2217" s="1">
        <v>1174</v>
      </c>
      <c r="Q2217" s="1" t="s">
        <v>42</v>
      </c>
      <c r="S2217" s="1" t="s">
        <v>42</v>
      </c>
      <c r="T2217" s="1" t="s">
        <v>203</v>
      </c>
      <c r="U2217" s="1">
        <v>233</v>
      </c>
      <c r="V2217" s="5">
        <v>44338</v>
      </c>
      <c r="W2217" s="5">
        <v>42013</v>
      </c>
      <c r="X2217" s="1">
        <v>1855000</v>
      </c>
      <c r="Y2217" s="1">
        <v>1855000</v>
      </c>
      <c r="Z2217" s="5">
        <v>42252</v>
      </c>
      <c r="AA2217" s="1">
        <v>1896060.77</v>
      </c>
      <c r="AB2217" s="1" t="s">
        <v>1732</v>
      </c>
      <c r="AC2217" s="5">
        <v>42247</v>
      </c>
      <c r="AF2217" s="1">
        <v>10019</v>
      </c>
      <c r="AI2217" s="1" t="s">
        <v>76</v>
      </c>
      <c r="AJ2217" s="1">
        <v>2017</v>
      </c>
      <c r="AK2217" s="1" t="s">
        <v>50</v>
      </c>
      <c r="AL2217" s="1">
        <v>248</v>
      </c>
    </row>
    <row r="2218" spans="1:38" x14ac:dyDescent="0.2">
      <c r="A2218" s="2" t="str">
        <f>HYPERLINK("https://www.compass.com/listing/301-west-53rd-street-unit-24k-manhattan-ny-10019/29388189160511201/","301 W 53rd St, Unit 24K")</f>
        <v>301 W 53rd St, Unit 24K</v>
      </c>
      <c r="B2218" s="2" t="str">
        <f t="shared" si="367"/>
        <v>Fifty Third and Eighth</v>
      </c>
      <c r="C2218" s="1" t="s">
        <v>57</v>
      </c>
      <c r="D2218" s="1" t="s">
        <v>41</v>
      </c>
      <c r="E2218" s="3">
        <v>2102510</v>
      </c>
      <c r="F2218" s="1">
        <v>2021.64423076923</v>
      </c>
      <c r="G2218" s="1">
        <v>4</v>
      </c>
      <c r="H2218" s="1">
        <v>3</v>
      </c>
      <c r="I2218" s="1">
        <v>2</v>
      </c>
      <c r="J2218" s="1">
        <v>2</v>
      </c>
      <c r="M2218" s="4">
        <v>1040</v>
      </c>
      <c r="N2218" s="1">
        <v>944</v>
      </c>
      <c r="O2218" s="1">
        <v>2167</v>
      </c>
      <c r="P2218" s="1">
        <v>1223</v>
      </c>
      <c r="Q2218" s="1" t="s">
        <v>42</v>
      </c>
      <c r="S2218" s="1" t="s">
        <v>42</v>
      </c>
      <c r="T2218" s="1" t="s">
        <v>203</v>
      </c>
      <c r="V2218" s="5">
        <v>43668</v>
      </c>
      <c r="W2218" s="5">
        <v>42508</v>
      </c>
      <c r="X2218" s="1">
        <v>2095000</v>
      </c>
      <c r="Y2218" s="1">
        <v>2095000</v>
      </c>
      <c r="Z2218" s="5">
        <v>42508</v>
      </c>
      <c r="AA2218" s="1">
        <v>2102510</v>
      </c>
      <c r="AB2218" s="1" t="s">
        <v>1733</v>
      </c>
      <c r="AC2218" s="5">
        <v>42552</v>
      </c>
      <c r="AF2218" s="1">
        <v>10019</v>
      </c>
      <c r="AI2218" s="1" t="s">
        <v>76</v>
      </c>
      <c r="AJ2218" s="1">
        <v>2017</v>
      </c>
      <c r="AK2218" s="1" t="s">
        <v>50</v>
      </c>
      <c r="AL2218" s="1">
        <v>248</v>
      </c>
    </row>
    <row r="2219" spans="1:38" x14ac:dyDescent="0.2">
      <c r="A2219" s="2" t="str">
        <f>HYPERLINK("https://www.compass.com/listing/301-west-53rd-street-unit-7f-manhattan-ny-10019/181601679077117633/","301 W 53rd St, Unit 7F")</f>
        <v>301 W 53rd St, Unit 7F</v>
      </c>
      <c r="B2219" s="2" t="str">
        <f t="shared" si="367"/>
        <v>Fifty Third and Eighth</v>
      </c>
      <c r="C2219" s="1" t="s">
        <v>57</v>
      </c>
      <c r="D2219" s="1" t="s">
        <v>41</v>
      </c>
      <c r="E2219" s="3">
        <v>1741935</v>
      </c>
      <c r="F2219" s="1">
        <v>1674.9375</v>
      </c>
      <c r="G2219" s="1">
        <v>6</v>
      </c>
      <c r="H2219" s="1">
        <v>3</v>
      </c>
      <c r="I2219" s="1">
        <v>2</v>
      </c>
      <c r="J2219" s="1">
        <v>2</v>
      </c>
      <c r="M2219" s="4">
        <v>1040</v>
      </c>
      <c r="N2219" s="1">
        <v>848</v>
      </c>
      <c r="O2219" s="1">
        <v>2067</v>
      </c>
      <c r="P2219" s="1">
        <v>1219</v>
      </c>
      <c r="Q2219" s="1" t="s">
        <v>42</v>
      </c>
      <c r="S2219" s="1" t="s">
        <v>42</v>
      </c>
      <c r="T2219" s="1" t="s">
        <v>203</v>
      </c>
      <c r="V2219" s="5">
        <v>43678</v>
      </c>
      <c r="W2219" s="5">
        <v>42459</v>
      </c>
      <c r="X2219" s="1">
        <v>1735000</v>
      </c>
      <c r="Y2219" s="1">
        <v>1735000</v>
      </c>
      <c r="Z2219" s="5">
        <v>42459</v>
      </c>
      <c r="AA2219" s="1">
        <v>1741935</v>
      </c>
      <c r="AB2219" s="1" t="s">
        <v>1734</v>
      </c>
      <c r="AC2219" s="5">
        <v>42550</v>
      </c>
      <c r="AF2219" s="1">
        <v>10019</v>
      </c>
      <c r="AI2219" s="1" t="s">
        <v>76</v>
      </c>
      <c r="AJ2219" s="1">
        <v>2017</v>
      </c>
      <c r="AK2219" s="1" t="s">
        <v>50</v>
      </c>
      <c r="AL2219" s="1">
        <v>248</v>
      </c>
    </row>
    <row r="2220" spans="1:38" x14ac:dyDescent="0.2">
      <c r="A2220" s="2" t="str">
        <f>HYPERLINK("https://www.compass.com/listing/301-west-53rd-street-unit-9f-manhattan-ny-10019/29388130826130017/","301 W 53rd St, Unit 9F")</f>
        <v>301 W 53rd St, Unit 9F</v>
      </c>
      <c r="B2220" s="2" t="str">
        <f t="shared" si="367"/>
        <v>Fifty Third and Eighth</v>
      </c>
      <c r="C2220" s="1" t="s">
        <v>57</v>
      </c>
      <c r="D2220" s="1" t="s">
        <v>41</v>
      </c>
      <c r="E2220" s="3">
        <v>1772003</v>
      </c>
      <c r="F2220" s="1">
        <v>1703.84903846153</v>
      </c>
      <c r="G2220" s="1">
        <v>6</v>
      </c>
      <c r="H2220" s="1">
        <v>3</v>
      </c>
      <c r="I2220" s="1">
        <v>2</v>
      </c>
      <c r="J2220" s="1">
        <v>2</v>
      </c>
      <c r="K2220" s="1">
        <v>2</v>
      </c>
      <c r="M2220" s="4">
        <v>1040</v>
      </c>
      <c r="N2220" s="1">
        <v>880</v>
      </c>
      <c r="O2220" s="1">
        <v>2021</v>
      </c>
      <c r="P2220" s="1">
        <v>1141</v>
      </c>
      <c r="Q2220" s="1" t="s">
        <v>42</v>
      </c>
      <c r="S2220" s="1" t="s">
        <v>42</v>
      </c>
      <c r="T2220" s="1" t="s">
        <v>203</v>
      </c>
      <c r="U2220" s="1">
        <v>278</v>
      </c>
      <c r="V2220" s="5">
        <v>44414</v>
      </c>
      <c r="W2220" s="5">
        <v>42013</v>
      </c>
      <c r="Y2220" s="1">
        <v>1765000</v>
      </c>
      <c r="Z2220" s="5">
        <v>42292</v>
      </c>
      <c r="AA2220" s="1">
        <v>1772003</v>
      </c>
      <c r="AB2220" s="1" t="s">
        <v>1735</v>
      </c>
      <c r="AC2220" s="5">
        <v>42299</v>
      </c>
      <c r="AF2220" s="1">
        <v>10019</v>
      </c>
      <c r="AI2220" s="1" t="s">
        <v>153</v>
      </c>
      <c r="AJ2220" s="1">
        <v>2017</v>
      </c>
      <c r="AK2220" s="1" t="s">
        <v>50</v>
      </c>
      <c r="AL2220" s="1">
        <v>248</v>
      </c>
    </row>
    <row r="2221" spans="1:38" x14ac:dyDescent="0.2">
      <c r="A2221" s="2" t="str">
        <f>HYPERLINK("https://www.compass.com/listing/301-west-53rd-street-unit-13f-manhattan-ny-10019/29388147418805217/","301 W 53rd St, Unit 13F")</f>
        <v>301 W 53rd St, Unit 13F</v>
      </c>
      <c r="B2221" s="2" t="str">
        <f t="shared" si="367"/>
        <v>Fifty Third and Eighth</v>
      </c>
      <c r="C2221" s="1" t="s">
        <v>57</v>
      </c>
      <c r="D2221" s="1" t="s">
        <v>41</v>
      </c>
      <c r="E2221" s="3">
        <v>1832140</v>
      </c>
      <c r="F2221" s="1">
        <v>1761.6730769230701</v>
      </c>
      <c r="G2221" s="1">
        <v>6</v>
      </c>
      <c r="H2221" s="1">
        <v>3</v>
      </c>
      <c r="I2221" s="1">
        <v>2</v>
      </c>
      <c r="J2221" s="1">
        <v>2</v>
      </c>
      <c r="M2221" s="4">
        <v>1040</v>
      </c>
      <c r="N2221" s="1">
        <v>873</v>
      </c>
      <c r="O2221" s="1">
        <v>2128</v>
      </c>
      <c r="P2221" s="1">
        <v>1255</v>
      </c>
      <c r="Q2221" s="1" t="s">
        <v>42</v>
      </c>
      <c r="S2221" s="1" t="s">
        <v>42</v>
      </c>
      <c r="T2221" s="1" t="s">
        <v>203</v>
      </c>
      <c r="V2221" s="5">
        <v>43664</v>
      </c>
      <c r="W2221" s="5">
        <v>42459</v>
      </c>
      <c r="X2221" s="1">
        <v>1825000</v>
      </c>
      <c r="Y2221" s="1">
        <v>1825000</v>
      </c>
      <c r="Z2221" s="5">
        <v>42459</v>
      </c>
      <c r="AA2221" s="1">
        <v>1832140</v>
      </c>
      <c r="AB2221" s="1" t="s">
        <v>1736</v>
      </c>
      <c r="AC2221" s="5">
        <v>42483</v>
      </c>
      <c r="AF2221" s="1">
        <v>10019</v>
      </c>
      <c r="AI2221" s="1" t="s">
        <v>76</v>
      </c>
      <c r="AJ2221" s="1">
        <v>2017</v>
      </c>
      <c r="AK2221" s="1" t="s">
        <v>50</v>
      </c>
      <c r="AL2221" s="1">
        <v>248</v>
      </c>
    </row>
    <row r="2222" spans="1:38" x14ac:dyDescent="0.2">
      <c r="A2222" s="2" t="str">
        <f>HYPERLINK("https://www.compass.com/listing/301-west-53rd-street-unit-14f-manhattan-ny-10019/29388150052764161/","301 W 53rd St, Unit 14F")</f>
        <v>301 W 53rd St, Unit 14F</v>
      </c>
      <c r="B2222" s="2" t="str">
        <f t="shared" si="367"/>
        <v>Fifty Third and Eighth</v>
      </c>
      <c r="C2222" s="1" t="s">
        <v>57</v>
      </c>
      <c r="D2222" s="1" t="s">
        <v>41</v>
      </c>
      <c r="E2222" s="3">
        <v>1880753</v>
      </c>
      <c r="F2222" s="1">
        <v>1808.4163461538401</v>
      </c>
      <c r="G2222" s="1">
        <v>5</v>
      </c>
      <c r="H2222" s="1">
        <v>2</v>
      </c>
      <c r="I2222" s="1">
        <v>2</v>
      </c>
      <c r="J2222" s="1">
        <v>2</v>
      </c>
      <c r="M2222" s="4">
        <v>1040</v>
      </c>
      <c r="N2222" s="1">
        <v>877</v>
      </c>
      <c r="O2222" s="1">
        <v>2138</v>
      </c>
      <c r="P2222" s="1">
        <v>1261</v>
      </c>
      <c r="Q2222" s="1" t="s">
        <v>42</v>
      </c>
      <c r="S2222" s="1" t="s">
        <v>42</v>
      </c>
      <c r="T2222" s="1" t="s">
        <v>203</v>
      </c>
      <c r="U2222" s="1">
        <v>73</v>
      </c>
      <c r="V2222" s="5">
        <v>43673</v>
      </c>
      <c r="W2222" s="5">
        <v>42419</v>
      </c>
      <c r="X2222" s="1">
        <v>1840000</v>
      </c>
      <c r="Y2222" s="1">
        <v>1840000</v>
      </c>
      <c r="Z2222" s="5">
        <v>42492</v>
      </c>
      <c r="AA2222" s="1">
        <v>1880753</v>
      </c>
      <c r="AB2222" s="1" t="s">
        <v>1737</v>
      </c>
      <c r="AC2222" s="5">
        <v>42581</v>
      </c>
      <c r="AF2222" s="1">
        <v>10019</v>
      </c>
      <c r="AI2222" s="1" t="s">
        <v>76</v>
      </c>
      <c r="AJ2222" s="1">
        <v>2017</v>
      </c>
      <c r="AK2222" s="1" t="s">
        <v>50</v>
      </c>
      <c r="AL2222" s="1">
        <v>248</v>
      </c>
    </row>
    <row r="2223" spans="1:38" x14ac:dyDescent="0.2">
      <c r="A2223" s="2" t="str">
        <f>HYPERLINK("https://www.compass.com/listing/301-west-53rd-street-unit-3k-manhattan-ny-10019/29388107296028193/","301 W 53rd St, Unit 3K")</f>
        <v>301 W 53rd St, Unit 3K</v>
      </c>
      <c r="B2223" s="2" t="str">
        <f t="shared" si="367"/>
        <v>Fifty Third and Eighth</v>
      </c>
      <c r="C2223" s="1" t="s">
        <v>57</v>
      </c>
      <c r="D2223" s="1" t="s">
        <v>41</v>
      </c>
      <c r="E2223" s="3">
        <v>1765000</v>
      </c>
      <c r="F2223" s="1">
        <v>1697.11538461538</v>
      </c>
      <c r="G2223" s="1">
        <v>5</v>
      </c>
      <c r="H2223" s="1">
        <v>3</v>
      </c>
      <c r="I2223" s="1">
        <v>2</v>
      </c>
      <c r="J2223" s="1">
        <v>2</v>
      </c>
      <c r="M2223" s="4">
        <v>1040</v>
      </c>
      <c r="N2223" s="1">
        <v>834</v>
      </c>
      <c r="O2223" s="1">
        <v>2344</v>
      </c>
      <c r="P2223" s="1">
        <v>1510</v>
      </c>
      <c r="Q2223" s="1" t="s">
        <v>42</v>
      </c>
      <c r="S2223" s="1" t="s">
        <v>42</v>
      </c>
      <c r="T2223" s="1" t="s">
        <v>203</v>
      </c>
      <c r="U2223" s="1">
        <v>41</v>
      </c>
      <c r="V2223" s="5">
        <v>43662</v>
      </c>
      <c r="W2223" s="5">
        <v>42804</v>
      </c>
      <c r="X2223" s="1">
        <v>1765000</v>
      </c>
      <c r="Y2223" s="1">
        <v>1765000</v>
      </c>
      <c r="Z2223" s="5">
        <v>42845</v>
      </c>
      <c r="AA2223" s="1">
        <v>1765000</v>
      </c>
      <c r="AB2223" s="1" t="s">
        <v>1738</v>
      </c>
      <c r="AC2223" s="5">
        <v>42886</v>
      </c>
      <c r="AF2223" s="1">
        <v>10019</v>
      </c>
      <c r="AI2223" s="1" t="s">
        <v>76</v>
      </c>
      <c r="AJ2223" s="1">
        <v>2017</v>
      </c>
      <c r="AK2223" s="1" t="s">
        <v>50</v>
      </c>
      <c r="AL2223" s="1">
        <v>248</v>
      </c>
    </row>
    <row r="2224" spans="1:38" x14ac:dyDescent="0.2">
      <c r="A2224" s="2" t="str">
        <f>HYPERLINK("https://www.compass.com/listing/301-west-53rd-street-unit-7e-manhattan-ny-10019/29388121590280705/","301 W 53rd St, Unit 7E")</f>
        <v>301 W 53rd St, Unit 7E</v>
      </c>
      <c r="B2224" s="2" t="str">
        <f t="shared" si="367"/>
        <v>Fifty Third and Eighth</v>
      </c>
      <c r="C2224" s="1" t="s">
        <v>57</v>
      </c>
      <c r="D2224" s="1" t="s">
        <v>41</v>
      </c>
      <c r="E2224" s="3">
        <v>1900874</v>
      </c>
      <c r="F2224" s="1">
        <v>1829.52261790182</v>
      </c>
      <c r="G2224" s="1">
        <v>5</v>
      </c>
      <c r="H2224" s="1">
        <v>3</v>
      </c>
      <c r="I2224" s="1">
        <v>2</v>
      </c>
      <c r="J2224" s="1">
        <v>2</v>
      </c>
      <c r="M2224" s="4">
        <v>1039</v>
      </c>
      <c r="N2224" s="1">
        <v>850</v>
      </c>
      <c r="O2224" s="1">
        <v>2389</v>
      </c>
      <c r="P2224" s="1">
        <v>1539</v>
      </c>
      <c r="Q2224" s="1" t="s">
        <v>42</v>
      </c>
      <c r="S2224" s="1" t="s">
        <v>42</v>
      </c>
      <c r="T2224" s="1" t="s">
        <v>203</v>
      </c>
      <c r="U2224" s="1">
        <v>772</v>
      </c>
      <c r="V2224" s="5">
        <v>43664</v>
      </c>
      <c r="W2224" s="5">
        <v>42073</v>
      </c>
      <c r="X2224" s="1">
        <v>1910000</v>
      </c>
      <c r="Y2224" s="1">
        <v>1910000</v>
      </c>
      <c r="Z2224" s="5">
        <v>42845</v>
      </c>
      <c r="AA2224" s="1">
        <v>1900874</v>
      </c>
      <c r="AB2224" s="1" t="s">
        <v>1739</v>
      </c>
      <c r="AC2224" s="5">
        <v>42887</v>
      </c>
      <c r="AF2224" s="1">
        <v>10019</v>
      </c>
      <c r="AI2224" s="1" t="s">
        <v>76</v>
      </c>
      <c r="AJ2224" s="1">
        <v>2017</v>
      </c>
      <c r="AK2224" s="1" t="s">
        <v>50</v>
      </c>
      <c r="AL2224" s="1">
        <v>248</v>
      </c>
    </row>
    <row r="2225" spans="1:38" x14ac:dyDescent="0.2">
      <c r="A2225" s="2" t="str">
        <f>HYPERLINK("https://www.compass.com/listing/301-west-53rd-street-unit-25b-manhattan-ny-10019/29388189915430113/","301 W 53rd St, Unit 25B")</f>
        <v>301 W 53rd St, Unit 25B</v>
      </c>
      <c r="B2225" s="2" t="str">
        <f t="shared" si="367"/>
        <v>Fifty Third and Eighth</v>
      </c>
      <c r="C2225" s="1" t="s">
        <v>57</v>
      </c>
      <c r="D2225" s="1" t="s">
        <v>41</v>
      </c>
      <c r="E2225" s="3">
        <v>1571823</v>
      </c>
      <c r="F2225" s="1">
        <v>1974.6521482411999</v>
      </c>
      <c r="H2225" s="1">
        <v>2</v>
      </c>
      <c r="J2225" s="1">
        <v>1</v>
      </c>
      <c r="K2225" s="1">
        <v>1</v>
      </c>
      <c r="M2225" s="1">
        <v>796</v>
      </c>
      <c r="N2225" s="1">
        <v>779.24</v>
      </c>
      <c r="O2225" s="1">
        <v>2168.2399999999998</v>
      </c>
      <c r="P2225" s="1">
        <v>1389</v>
      </c>
      <c r="Q2225" s="1" t="s">
        <v>42</v>
      </c>
      <c r="S2225" s="1" t="s">
        <v>42</v>
      </c>
      <c r="T2225" s="1" t="s">
        <v>203</v>
      </c>
      <c r="AA2225" s="1">
        <v>1571823.11</v>
      </c>
      <c r="AB2225" s="1" t="s">
        <v>1740</v>
      </c>
      <c r="AC2225" s="5">
        <v>42276</v>
      </c>
      <c r="AF2225" s="1">
        <v>10019</v>
      </c>
      <c r="AI2225" s="1" t="s">
        <v>76</v>
      </c>
      <c r="AJ2225" s="1">
        <v>2017</v>
      </c>
      <c r="AK2225" s="1" t="s">
        <v>50</v>
      </c>
      <c r="AL2225" s="1">
        <v>248</v>
      </c>
    </row>
    <row r="2226" spans="1:38" x14ac:dyDescent="0.2">
      <c r="A2226" s="2" t="str">
        <f>HYPERLINK("https://www.compass.com/listing/301-west-53rd-street-unit-19cd-manhattan-ny-10019/4852272889770027681/","301 W 53rd St, Unit 19CD")</f>
        <v>301 W 53rd St, Unit 19CD</v>
      </c>
      <c r="B2226" s="2" t="str">
        <f t="shared" si="367"/>
        <v>Fifty Third and Eighth</v>
      </c>
      <c r="C2226" s="1" t="s">
        <v>57</v>
      </c>
      <c r="D2226" s="1" t="s">
        <v>41</v>
      </c>
      <c r="E2226" s="3">
        <v>2950000</v>
      </c>
      <c r="F2226" s="1">
        <v>1787.87878787878</v>
      </c>
      <c r="G2226" s="1">
        <v>5</v>
      </c>
      <c r="H2226" s="1">
        <v>3</v>
      </c>
      <c r="I2226" s="1">
        <v>2</v>
      </c>
      <c r="J2226" s="1">
        <v>2</v>
      </c>
      <c r="K2226" s="1">
        <v>2</v>
      </c>
      <c r="M2226" s="4">
        <v>1650</v>
      </c>
      <c r="N2226" s="1">
        <v>1415</v>
      </c>
      <c r="O2226" s="1">
        <v>3450</v>
      </c>
      <c r="P2226" s="1">
        <v>2035</v>
      </c>
      <c r="Q2226" s="1" t="s">
        <v>42</v>
      </c>
      <c r="S2226" s="1" t="s">
        <v>42</v>
      </c>
      <c r="T2226" s="1" t="s">
        <v>203</v>
      </c>
      <c r="V2226" s="5">
        <v>44357</v>
      </c>
      <c r="W2226" s="5">
        <v>42285</v>
      </c>
      <c r="X2226" s="1">
        <v>3105000</v>
      </c>
      <c r="Y2226" s="1">
        <v>3105000</v>
      </c>
      <c r="Z2226" s="5">
        <v>42285</v>
      </c>
      <c r="AA2226" s="1">
        <v>2950000</v>
      </c>
      <c r="AB2226" s="1" t="s">
        <v>204</v>
      </c>
      <c r="AC2226" s="5">
        <v>42489</v>
      </c>
      <c r="AF2226" s="1">
        <v>10019</v>
      </c>
      <c r="AI2226" s="1" t="s">
        <v>153</v>
      </c>
      <c r="AJ2226" s="1">
        <v>2017</v>
      </c>
      <c r="AK2226" s="1" t="s">
        <v>50</v>
      </c>
      <c r="AL2226" s="1">
        <v>248</v>
      </c>
    </row>
    <row r="2227" spans="1:38" x14ac:dyDescent="0.2">
      <c r="A2227" s="2" t="str">
        <f>HYPERLINK("https://www.compass.com/listing/301-west-53rd-street-unit-16de-manhattan-ny-10019/4852323528994722465/","301 W 53rd St, Unit 16DE")</f>
        <v>301 W 53rd St, Unit 16DE</v>
      </c>
      <c r="B2227" s="2" t="str">
        <f t="shared" si="367"/>
        <v>Fifty Third and Eighth</v>
      </c>
      <c r="C2227" s="1" t="s">
        <v>57</v>
      </c>
      <c r="D2227" s="1" t="s">
        <v>41</v>
      </c>
      <c r="E2227" s="3">
        <v>3365000</v>
      </c>
      <c r="F2227" s="1">
        <v>1840.80962800875</v>
      </c>
      <c r="G2227" s="1">
        <v>7</v>
      </c>
      <c r="H2227" s="1">
        <v>4</v>
      </c>
      <c r="I2227" s="1">
        <v>2</v>
      </c>
      <c r="J2227" s="1">
        <v>2</v>
      </c>
      <c r="M2227" s="4">
        <v>1828</v>
      </c>
      <c r="N2227" s="1">
        <v>1546</v>
      </c>
      <c r="O2227" s="1">
        <v>3770</v>
      </c>
      <c r="P2227" s="1">
        <v>2224</v>
      </c>
      <c r="Q2227" s="1" t="s">
        <v>42</v>
      </c>
      <c r="S2227" s="1" t="s">
        <v>42</v>
      </c>
      <c r="T2227" s="1" t="s">
        <v>203</v>
      </c>
      <c r="U2227" s="1">
        <v>110</v>
      </c>
      <c r="V2227" s="5">
        <v>43650</v>
      </c>
      <c r="W2227" s="5">
        <v>42187</v>
      </c>
      <c r="X2227" s="1">
        <v>3365000</v>
      </c>
      <c r="Y2227" s="1">
        <v>3365000</v>
      </c>
      <c r="AA2227" s="1">
        <v>3365000</v>
      </c>
      <c r="AB2227" s="1" t="s">
        <v>204</v>
      </c>
      <c r="AC2227" s="5">
        <v>42297</v>
      </c>
      <c r="AF2227" s="1">
        <v>10019</v>
      </c>
      <c r="AI2227" s="1" t="s">
        <v>76</v>
      </c>
      <c r="AJ2227" s="1">
        <v>2017</v>
      </c>
      <c r="AK2227" s="1" t="s">
        <v>81</v>
      </c>
      <c r="AL2227" s="1">
        <v>248</v>
      </c>
    </row>
    <row r="2228" spans="1:38" x14ac:dyDescent="0.2">
      <c r="A2228" s="2" t="str">
        <f>HYPERLINK("https://www.compass.com/listing/301-west-53rd-street-unit-18cd-manhattan-ny-10019/4852323535126796417/","301 W 53rd St, Unit 18CD")</f>
        <v>301 W 53rd St, Unit 18CD</v>
      </c>
      <c r="B2228" s="2" t="str">
        <f t="shared" si="367"/>
        <v>Fifty Third and Eighth</v>
      </c>
      <c r="C2228" s="1" t="s">
        <v>57</v>
      </c>
      <c r="D2228" s="1" t="s">
        <v>41</v>
      </c>
      <c r="E2228" s="3">
        <v>3085000</v>
      </c>
      <c r="F2228" s="1">
        <v>1869.69696969696</v>
      </c>
      <c r="G2228" s="1">
        <v>6</v>
      </c>
      <c r="H2228" s="1">
        <v>3</v>
      </c>
      <c r="I2228" s="1">
        <v>2</v>
      </c>
      <c r="J2228" s="1">
        <v>2</v>
      </c>
      <c r="M2228" s="4">
        <v>1650</v>
      </c>
      <c r="N2228" s="1">
        <v>1408</v>
      </c>
      <c r="O2228" s="1">
        <v>3433</v>
      </c>
      <c r="P2228" s="1">
        <v>2025</v>
      </c>
      <c r="Q2228" s="1" t="s">
        <v>42</v>
      </c>
      <c r="S2228" s="1" t="s">
        <v>42</v>
      </c>
      <c r="T2228" s="1" t="s">
        <v>203</v>
      </c>
      <c r="V2228" s="5">
        <v>43654</v>
      </c>
      <c r="W2228" s="5">
        <v>42285</v>
      </c>
      <c r="X2228" s="1">
        <v>3085000</v>
      </c>
      <c r="Y2228" s="1">
        <v>3085000</v>
      </c>
      <c r="Z2228" s="5">
        <v>42285</v>
      </c>
      <c r="AA2228" s="1">
        <v>3085000</v>
      </c>
      <c r="AB2228" s="1" t="s">
        <v>204</v>
      </c>
      <c r="AC2228" s="5">
        <v>42398</v>
      </c>
      <c r="AF2228" s="1">
        <v>10019</v>
      </c>
      <c r="AI2228" s="1" t="s">
        <v>76</v>
      </c>
      <c r="AJ2228" s="1">
        <v>2017</v>
      </c>
      <c r="AK2228" s="1" t="s">
        <v>50</v>
      </c>
      <c r="AL2228" s="1">
        <v>248</v>
      </c>
    </row>
    <row r="2229" spans="1:38" x14ac:dyDescent="0.2">
      <c r="A2229" s="2" t="str">
        <f>HYPERLINK("https://www.compass.com/listing/301-west-53rd-street-unit-9e-manhattan-ny-10019/192573926969256753/","301 W 53rd St, Unit 9E")</f>
        <v>301 W 53rd St, Unit 9E</v>
      </c>
      <c r="B2229" s="2" t="str">
        <f t="shared" si="367"/>
        <v>Fifty Third and Eighth</v>
      </c>
      <c r="C2229" s="1" t="s">
        <v>57</v>
      </c>
      <c r="D2229" s="1" t="s">
        <v>41</v>
      </c>
      <c r="E2229" s="3">
        <v>1821497</v>
      </c>
      <c r="F2229" s="1">
        <v>1753.1251203079801</v>
      </c>
      <c r="G2229" s="1">
        <v>6</v>
      </c>
      <c r="H2229" s="1">
        <v>3</v>
      </c>
      <c r="I2229" s="1">
        <v>2</v>
      </c>
      <c r="J2229" s="1">
        <v>2</v>
      </c>
      <c r="M2229" s="4">
        <v>1039</v>
      </c>
      <c r="N2229" s="1">
        <v>879</v>
      </c>
      <c r="O2229" s="1">
        <v>2018</v>
      </c>
      <c r="P2229" s="1">
        <v>1139</v>
      </c>
      <c r="Q2229" s="1" t="s">
        <v>42</v>
      </c>
      <c r="S2229" s="1" t="s">
        <v>42</v>
      </c>
      <c r="T2229" s="1" t="s">
        <v>203</v>
      </c>
      <c r="V2229" s="5">
        <v>43673</v>
      </c>
      <c r="W2229" s="5">
        <v>42536</v>
      </c>
      <c r="X2229" s="1">
        <v>1790000</v>
      </c>
      <c r="Y2229" s="1">
        <v>1790000</v>
      </c>
      <c r="Z2229" s="5">
        <v>42536</v>
      </c>
      <c r="AA2229" s="1">
        <v>1821497</v>
      </c>
      <c r="AB2229" s="1" t="s">
        <v>1717</v>
      </c>
      <c r="AC2229" s="5">
        <v>42588</v>
      </c>
      <c r="AF2229" s="1">
        <v>10019</v>
      </c>
      <c r="AI2229" s="1" t="s">
        <v>76</v>
      </c>
      <c r="AJ2229" s="1">
        <v>2017</v>
      </c>
      <c r="AK2229" s="1" t="s">
        <v>50</v>
      </c>
      <c r="AL2229" s="1">
        <v>248</v>
      </c>
    </row>
    <row r="2230" spans="1:38" x14ac:dyDescent="0.2">
      <c r="A2230" s="2" t="str">
        <f>HYPERLINK("https://www.compass.com/listing/301-west-53rd-street-unit-7f-manhattan-ny-10019/212938153248485073/","301 W 53rd St, Unit 7F")</f>
        <v>301 W 53rd St, Unit 7F</v>
      </c>
      <c r="B2230" s="2" t="str">
        <f t="shared" si="367"/>
        <v>Fifty Third and Eighth</v>
      </c>
      <c r="C2230" s="1" t="s">
        <v>57</v>
      </c>
      <c r="D2230" s="1" t="s">
        <v>41</v>
      </c>
      <c r="E2230" s="3">
        <v>1741935</v>
      </c>
      <c r="F2230" s="1">
        <v>1674.93794230769</v>
      </c>
      <c r="G2230" s="1">
        <v>6</v>
      </c>
      <c r="H2230" s="1">
        <v>3</v>
      </c>
      <c r="I2230" s="1">
        <v>2</v>
      </c>
      <c r="J2230" s="1">
        <v>2</v>
      </c>
      <c r="M2230" s="4">
        <v>1040</v>
      </c>
      <c r="N2230" s="1">
        <v>848</v>
      </c>
      <c r="O2230" s="1">
        <v>2067</v>
      </c>
      <c r="P2230" s="1">
        <v>1219</v>
      </c>
      <c r="Q2230" s="1" t="s">
        <v>42</v>
      </c>
      <c r="S2230" s="1" t="s">
        <v>42</v>
      </c>
      <c r="T2230" s="1" t="s">
        <v>203</v>
      </c>
      <c r="U2230" s="1">
        <v>414</v>
      </c>
      <c r="V2230" s="5">
        <v>42586</v>
      </c>
      <c r="W2230" s="5">
        <v>42013</v>
      </c>
      <c r="X2230" s="1">
        <v>1735000</v>
      </c>
      <c r="Y2230" s="1">
        <v>1735000</v>
      </c>
      <c r="AA2230" s="1">
        <v>1741935.46</v>
      </c>
      <c r="AB2230" s="1" t="s">
        <v>1734</v>
      </c>
      <c r="AC2230" s="5">
        <v>42549</v>
      </c>
      <c r="AF2230" s="1">
        <v>10019</v>
      </c>
      <c r="AI2230" s="1" t="s">
        <v>76</v>
      </c>
      <c r="AJ2230" s="1">
        <v>2017</v>
      </c>
      <c r="AK2230" s="1" t="s">
        <v>50</v>
      </c>
      <c r="AL2230" s="1">
        <v>248</v>
      </c>
    </row>
    <row r="2231" spans="1:38" x14ac:dyDescent="0.2">
      <c r="A2231" s="2" t="str">
        <f>HYPERLINK("https://www.compass.com/listing/301-west-53rd-street-unit-20e-manhattan-ny-10019/29388173666760081/","301 W 53rd St, Unit 20E")</f>
        <v>301 W 53rd St, Unit 20E</v>
      </c>
      <c r="B2231" s="2" t="str">
        <f t="shared" si="367"/>
        <v>Fifty Third and Eighth</v>
      </c>
      <c r="C2231" s="1" t="s">
        <v>57</v>
      </c>
      <c r="D2231" s="1" t="s">
        <v>41</v>
      </c>
      <c r="E2231" s="3">
        <v>1998047</v>
      </c>
      <c r="F2231" s="1">
        <v>1923.04812319538</v>
      </c>
      <c r="G2231" s="1">
        <v>6</v>
      </c>
      <c r="H2231" s="1">
        <v>3</v>
      </c>
      <c r="I2231" s="1">
        <v>2</v>
      </c>
      <c r="J2231" s="1">
        <v>2</v>
      </c>
      <c r="M2231" s="4">
        <v>1039</v>
      </c>
      <c r="N2231" s="1">
        <v>926</v>
      </c>
      <c r="O2231" s="1">
        <v>2126</v>
      </c>
      <c r="P2231" s="1">
        <v>1200</v>
      </c>
      <c r="Q2231" s="1" t="s">
        <v>42</v>
      </c>
      <c r="S2231" s="1" t="s">
        <v>42</v>
      </c>
      <c r="T2231" s="1" t="s">
        <v>203</v>
      </c>
      <c r="U2231" s="1">
        <v>167</v>
      </c>
      <c r="V2231" s="5">
        <v>43650</v>
      </c>
      <c r="W2231" s="5">
        <v>42111</v>
      </c>
      <c r="X2231" s="1">
        <v>1955000</v>
      </c>
      <c r="Y2231" s="1">
        <v>1955000</v>
      </c>
      <c r="AA2231" s="1">
        <v>1998047</v>
      </c>
      <c r="AB2231" s="1" t="s">
        <v>1741</v>
      </c>
      <c r="AC2231" s="5">
        <v>42279</v>
      </c>
      <c r="AF2231" s="1">
        <v>10019</v>
      </c>
      <c r="AI2231" s="1" t="s">
        <v>76</v>
      </c>
      <c r="AJ2231" s="1">
        <v>2017</v>
      </c>
      <c r="AK2231" s="1" t="s">
        <v>81</v>
      </c>
      <c r="AL2231" s="1">
        <v>248</v>
      </c>
    </row>
    <row r="2232" spans="1:38" x14ac:dyDescent="0.2">
      <c r="A2232" s="2" t="str">
        <f>HYPERLINK("https://www.compass.com/listing/301-west-53rd-street-unit-20ij-manhattan-ny-10019/29388174774056369/","301 W 53rd St, Unit 20IJ")</f>
        <v>301 W 53rd St, Unit 20IJ</v>
      </c>
      <c r="B2232" s="2" t="str">
        <f t="shared" si="367"/>
        <v>Fifty Third and Eighth</v>
      </c>
      <c r="C2232" s="1" t="s">
        <v>57</v>
      </c>
      <c r="D2232" s="1" t="s">
        <v>41</v>
      </c>
      <c r="E2232" s="3">
        <v>2466757</v>
      </c>
      <c r="F2232" s="1">
        <v>1834.0200743494399</v>
      </c>
      <c r="G2232" s="1">
        <v>4</v>
      </c>
      <c r="H2232" s="1">
        <v>2</v>
      </c>
      <c r="I2232" s="1">
        <v>3</v>
      </c>
      <c r="J2232" s="1">
        <v>2.5</v>
      </c>
      <c r="M2232" s="4">
        <v>1345</v>
      </c>
      <c r="N2232" s="1">
        <v>1166</v>
      </c>
      <c r="O2232" s="1">
        <v>2843</v>
      </c>
      <c r="P2232" s="1">
        <v>1677</v>
      </c>
      <c r="Q2232" s="1" t="s">
        <v>42</v>
      </c>
      <c r="S2232" s="1" t="s">
        <v>42</v>
      </c>
      <c r="T2232" s="1" t="s">
        <v>203</v>
      </c>
      <c r="U2232" s="1">
        <v>123</v>
      </c>
      <c r="V2232" s="5">
        <v>43673</v>
      </c>
      <c r="W2232" s="5">
        <v>42419</v>
      </c>
      <c r="X2232" s="1">
        <v>2435000</v>
      </c>
      <c r="Y2232" s="1">
        <v>2435000</v>
      </c>
      <c r="Z2232" s="5">
        <v>42542</v>
      </c>
      <c r="AA2232" s="1">
        <v>2466757</v>
      </c>
      <c r="AB2232" s="1" t="s">
        <v>1742</v>
      </c>
      <c r="AC2232" s="5">
        <v>42621</v>
      </c>
      <c r="AF2232" s="1">
        <v>10019</v>
      </c>
      <c r="AI2232" s="1" t="s">
        <v>76</v>
      </c>
      <c r="AJ2232" s="1">
        <v>2017</v>
      </c>
      <c r="AK2232" s="1" t="s">
        <v>50</v>
      </c>
      <c r="AL2232" s="1">
        <v>248</v>
      </c>
    </row>
    <row r="2233" spans="1:38" x14ac:dyDescent="0.2">
      <c r="A2233" s="2" t="str">
        <f>HYPERLINK("https://www.compass.com/listing/301-west-53rd-street-unit-18k-manhattan-ny-10019/192573456183774081/","301 W 53rd St, Unit 18K")</f>
        <v>301 W 53rd St, Unit 18K</v>
      </c>
      <c r="B2233" s="2" t="str">
        <f t="shared" si="367"/>
        <v>Fifty Third and Eighth</v>
      </c>
      <c r="C2233" s="1" t="s">
        <v>57</v>
      </c>
      <c r="D2233" s="1" t="s">
        <v>41</v>
      </c>
      <c r="E2233" s="3">
        <v>2007308</v>
      </c>
      <c r="F2233" s="1">
        <v>1930.1039519230701</v>
      </c>
      <c r="G2233" s="1">
        <v>5</v>
      </c>
      <c r="H2233" s="1">
        <v>3</v>
      </c>
      <c r="I2233" s="1">
        <v>2</v>
      </c>
      <c r="J2233" s="1">
        <v>2</v>
      </c>
      <c r="M2233" s="4">
        <v>1040</v>
      </c>
      <c r="N2233" s="1">
        <v>893</v>
      </c>
      <c r="O2233" s="1">
        <v>2178</v>
      </c>
      <c r="P2233" s="1">
        <v>1285</v>
      </c>
      <c r="Q2233" s="1" t="s">
        <v>42</v>
      </c>
      <c r="S2233" s="1" t="s">
        <v>42</v>
      </c>
      <c r="T2233" s="1" t="s">
        <v>203</v>
      </c>
      <c r="U2233" s="1">
        <v>447</v>
      </c>
      <c r="V2233" s="5">
        <v>42468</v>
      </c>
      <c r="W2233" s="5">
        <v>42013</v>
      </c>
      <c r="X2233" s="1">
        <v>2000000</v>
      </c>
      <c r="Y2233" s="1">
        <v>2000000</v>
      </c>
      <c r="AA2233" s="1">
        <v>2007308.11</v>
      </c>
      <c r="AB2233" s="1" t="s">
        <v>1743</v>
      </c>
      <c r="AC2233" s="5">
        <v>42577</v>
      </c>
      <c r="AF2233" s="1">
        <v>10019</v>
      </c>
      <c r="AI2233" s="1" t="s">
        <v>76</v>
      </c>
      <c r="AJ2233" s="1">
        <v>2017</v>
      </c>
      <c r="AK2233" s="1" t="s">
        <v>50</v>
      </c>
      <c r="AL2233" s="1">
        <v>248</v>
      </c>
    </row>
    <row r="2234" spans="1:38" x14ac:dyDescent="0.2">
      <c r="A2234" s="2" t="str">
        <f>HYPERLINK("https://www.compass.com/listing/301-west-53rd-street-unit-18k-manhattan-ny-10019/206530588293826993/","301 W 53rd St, Unit 18K")</f>
        <v>301 W 53rd St, Unit 18K</v>
      </c>
      <c r="B2234" s="2" t="str">
        <f t="shared" si="367"/>
        <v>Fifty Third and Eighth</v>
      </c>
      <c r="C2234" s="1" t="s">
        <v>57</v>
      </c>
      <c r="D2234" s="1" t="s">
        <v>41</v>
      </c>
      <c r="E2234" s="3">
        <v>2007308</v>
      </c>
      <c r="F2234" s="1">
        <v>1930.1038461538401</v>
      </c>
      <c r="G2234" s="1">
        <v>5</v>
      </c>
      <c r="H2234" s="1">
        <v>3</v>
      </c>
      <c r="I2234" s="1">
        <v>2</v>
      </c>
      <c r="J2234" s="1">
        <v>2</v>
      </c>
      <c r="M2234" s="4">
        <v>1040</v>
      </c>
      <c r="N2234" s="1">
        <v>893</v>
      </c>
      <c r="O2234" s="1">
        <v>2178</v>
      </c>
      <c r="P2234" s="1">
        <v>1285</v>
      </c>
      <c r="Q2234" s="1" t="s">
        <v>42</v>
      </c>
      <c r="S2234" s="1" t="s">
        <v>42</v>
      </c>
      <c r="T2234" s="1" t="s">
        <v>203</v>
      </c>
      <c r="U2234" s="1">
        <v>34</v>
      </c>
      <c r="V2234" s="5">
        <v>43673</v>
      </c>
      <c r="W2234" s="5">
        <v>42468</v>
      </c>
      <c r="X2234" s="1">
        <v>2000000</v>
      </c>
      <c r="Y2234" s="1">
        <v>2000000</v>
      </c>
      <c r="Z2234" s="5">
        <v>42502</v>
      </c>
      <c r="AA2234" s="1">
        <v>2007308</v>
      </c>
      <c r="AB2234" s="1" t="s">
        <v>1743</v>
      </c>
      <c r="AC2234" s="5">
        <v>42578</v>
      </c>
      <c r="AF2234" s="1">
        <v>10019</v>
      </c>
      <c r="AI2234" s="1" t="s">
        <v>76</v>
      </c>
      <c r="AJ2234" s="1">
        <v>2017</v>
      </c>
      <c r="AK2234" s="1" t="s">
        <v>50</v>
      </c>
      <c r="AL2234" s="1">
        <v>248</v>
      </c>
    </row>
    <row r="2235" spans="1:38" x14ac:dyDescent="0.2">
      <c r="A2235" s="2" t="str">
        <f>HYPERLINK("https://www.compass.com/listing/301-west-53rd-street-unit-4k-manhattan-ny-10019/29388110550872401/","301 W 53rd St, Unit 4K")</f>
        <v>301 W 53rd St, Unit 4K</v>
      </c>
      <c r="B2235" s="2" t="str">
        <f t="shared" si="367"/>
        <v>Fifty Third and Eighth</v>
      </c>
      <c r="C2235" s="1" t="s">
        <v>57</v>
      </c>
      <c r="D2235" s="1" t="s">
        <v>41</v>
      </c>
      <c r="E2235" s="3">
        <v>1780000</v>
      </c>
      <c r="F2235" s="1">
        <v>1711.5384615384601</v>
      </c>
      <c r="G2235" s="1">
        <v>5</v>
      </c>
      <c r="H2235" s="1">
        <v>3</v>
      </c>
      <c r="I2235" s="1">
        <v>2</v>
      </c>
      <c r="J2235" s="1">
        <v>2</v>
      </c>
      <c r="M2235" s="4">
        <v>1040</v>
      </c>
      <c r="N2235" s="1">
        <v>835</v>
      </c>
      <c r="O2235" s="1">
        <v>2037</v>
      </c>
      <c r="P2235" s="1">
        <v>1202</v>
      </c>
      <c r="Q2235" s="1" t="s">
        <v>42</v>
      </c>
      <c r="S2235" s="1" t="s">
        <v>42</v>
      </c>
      <c r="T2235" s="1" t="s">
        <v>203</v>
      </c>
      <c r="U2235" s="1">
        <v>345</v>
      </c>
      <c r="V2235" s="5">
        <v>43664</v>
      </c>
      <c r="W2235" s="5">
        <v>42452</v>
      </c>
      <c r="X2235" s="1">
        <v>1780000</v>
      </c>
      <c r="Y2235" s="1">
        <v>1780000</v>
      </c>
      <c r="AA2235" s="1">
        <v>1780000</v>
      </c>
      <c r="AB2235" s="1" t="s">
        <v>1744</v>
      </c>
      <c r="AC2235" s="5">
        <v>42797</v>
      </c>
      <c r="AF2235" s="1">
        <v>10019</v>
      </c>
      <c r="AI2235" s="1" t="s">
        <v>76</v>
      </c>
      <c r="AJ2235" s="1">
        <v>2017</v>
      </c>
      <c r="AK2235" s="1" t="s">
        <v>81</v>
      </c>
      <c r="AL2235" s="1">
        <v>248</v>
      </c>
    </row>
    <row r="2236" spans="1:38" x14ac:dyDescent="0.2">
      <c r="A2236" s="2" t="str">
        <f>HYPERLINK("https://www.compass.com/listing/301-west-53rd-street-unit-14k-manhattan-ny-10019/29388151294278161/","301 W 53rd St, Unit 14K")</f>
        <v>301 W 53rd St, Unit 14K</v>
      </c>
      <c r="B2236" s="2" t="str">
        <f t="shared" si="367"/>
        <v>Fifty Third and Eighth</v>
      </c>
      <c r="C2236" s="1" t="s">
        <v>57</v>
      </c>
      <c r="D2236" s="1" t="s">
        <v>41</v>
      </c>
      <c r="E2236" s="3">
        <v>1959830</v>
      </c>
      <c r="F2236" s="1">
        <v>1884.4519230769199</v>
      </c>
      <c r="G2236" s="1">
        <v>6</v>
      </c>
      <c r="H2236" s="1">
        <v>3</v>
      </c>
      <c r="I2236" s="1">
        <v>2</v>
      </c>
      <c r="J2236" s="1">
        <v>2</v>
      </c>
      <c r="M2236" s="4">
        <v>1040</v>
      </c>
      <c r="N2236" s="1">
        <v>880</v>
      </c>
      <c r="O2236" s="1">
        <v>2473</v>
      </c>
      <c r="P2236" s="1">
        <v>1593</v>
      </c>
      <c r="Q2236" s="1" t="s">
        <v>42</v>
      </c>
      <c r="S2236" s="1" t="s">
        <v>42</v>
      </c>
      <c r="T2236" s="1" t="s">
        <v>203</v>
      </c>
      <c r="U2236" s="1">
        <v>110</v>
      </c>
      <c r="V2236" s="5">
        <v>43664</v>
      </c>
      <c r="W2236" s="5">
        <v>42658</v>
      </c>
      <c r="X2236" s="1">
        <v>1935000</v>
      </c>
      <c r="Y2236" s="1">
        <v>1935000</v>
      </c>
      <c r="Z2236" s="5">
        <v>42768</v>
      </c>
      <c r="AA2236" s="1">
        <v>1959830</v>
      </c>
      <c r="AB2236" s="1" t="s">
        <v>1745</v>
      </c>
      <c r="AC2236" s="5">
        <v>42878</v>
      </c>
      <c r="AF2236" s="1">
        <v>10019</v>
      </c>
      <c r="AI2236" s="1" t="s">
        <v>76</v>
      </c>
      <c r="AJ2236" s="1">
        <v>2017</v>
      </c>
      <c r="AK2236" s="1" t="s">
        <v>81</v>
      </c>
      <c r="AL2236" s="1">
        <v>248</v>
      </c>
    </row>
    <row r="2237" spans="1:38" x14ac:dyDescent="0.2">
      <c r="A2237" s="2" t="str">
        <f>HYPERLINK("https://www.compass.com/listing/301-west-53rd-street-unit-15e3-manhattan-ny-10019/4873433094385833345/","301 W 53rd St, Unit 15E3")</f>
        <v>301 W 53rd St, Unit 15E3</v>
      </c>
      <c r="B2237" s="2" t="str">
        <f t="shared" si="367"/>
        <v>Fifty Third and Eighth</v>
      </c>
      <c r="C2237" s="1" t="s">
        <v>57</v>
      </c>
      <c r="D2237" s="1" t="s">
        <v>41</v>
      </c>
      <c r="E2237" s="3">
        <v>2100000</v>
      </c>
      <c r="F2237" s="1">
        <v>2021.1742059672699</v>
      </c>
      <c r="G2237" s="1">
        <v>5</v>
      </c>
      <c r="H2237" s="1">
        <v>3</v>
      </c>
      <c r="I2237" s="1">
        <v>2</v>
      </c>
      <c r="J2237" s="1">
        <v>2</v>
      </c>
      <c r="M2237" s="4">
        <v>1039</v>
      </c>
      <c r="N2237" s="1">
        <v>883</v>
      </c>
      <c r="O2237" s="1">
        <v>2664</v>
      </c>
      <c r="P2237" s="1">
        <v>1781</v>
      </c>
      <c r="Q2237" s="1" t="s">
        <v>42</v>
      </c>
      <c r="S2237" s="1" t="s">
        <v>42</v>
      </c>
      <c r="T2237" s="1" t="s">
        <v>203</v>
      </c>
      <c r="U2237" s="1">
        <v>28</v>
      </c>
      <c r="V2237" s="5">
        <v>43700</v>
      </c>
      <c r="W2237" s="5">
        <v>43172</v>
      </c>
      <c r="X2237" s="1">
        <v>2100000</v>
      </c>
      <c r="Y2237" s="1">
        <v>2100000</v>
      </c>
      <c r="Z2237" s="5">
        <v>43200</v>
      </c>
      <c r="AA2237" s="1">
        <v>2100000</v>
      </c>
      <c r="AB2237" s="1" t="s">
        <v>204</v>
      </c>
      <c r="AC2237" s="5">
        <v>43250</v>
      </c>
      <c r="AF2237" s="1">
        <v>10019</v>
      </c>
      <c r="AI2237" s="1" t="s">
        <v>1525</v>
      </c>
      <c r="AJ2237" s="1">
        <v>2017</v>
      </c>
      <c r="AK2237" s="1" t="s">
        <v>50</v>
      </c>
      <c r="AL2237" s="1">
        <v>248</v>
      </c>
    </row>
    <row r="2238" spans="1:38" x14ac:dyDescent="0.2">
      <c r="A2238" s="2" t="str">
        <f>HYPERLINK("https://www.compass.com/listing/301-west-53rd-street-unit-24a-manhattan-ny-10019/316887629551237809/","301 W 53rd St, Unit 24A")</f>
        <v>301 W 53rd St, Unit 24A</v>
      </c>
      <c r="B2238" s="2" t="str">
        <f t="shared" si="367"/>
        <v>Fifty Third and Eighth</v>
      </c>
      <c r="C2238" s="1" t="s">
        <v>57</v>
      </c>
      <c r="D2238" s="1" t="s">
        <v>41</v>
      </c>
      <c r="E2238" s="3">
        <v>1940000</v>
      </c>
      <c r="F2238" s="1">
        <v>1867.17998075072</v>
      </c>
      <c r="G2238" s="1">
        <v>3</v>
      </c>
      <c r="H2238" s="1">
        <v>2</v>
      </c>
      <c r="I2238" s="1">
        <v>2</v>
      </c>
      <c r="J2238" s="1">
        <v>2</v>
      </c>
      <c r="K2238" s="1">
        <v>2</v>
      </c>
      <c r="M2238" s="4">
        <v>1039</v>
      </c>
      <c r="N2238" s="1">
        <v>1012</v>
      </c>
      <c r="O2238" s="1">
        <v>2202</v>
      </c>
      <c r="P2238" s="1">
        <v>1190</v>
      </c>
      <c r="Q2238" s="1" t="s">
        <v>42</v>
      </c>
      <c r="S2238" s="1" t="s">
        <v>42</v>
      </c>
      <c r="T2238" s="1" t="s">
        <v>203</v>
      </c>
      <c r="U2238" s="1">
        <v>423</v>
      </c>
      <c r="V2238" s="5">
        <v>43789</v>
      </c>
      <c r="W2238" s="5">
        <v>43350</v>
      </c>
      <c r="X2238" s="1">
        <v>1990000</v>
      </c>
      <c r="Y2238" s="1">
        <v>1990000</v>
      </c>
      <c r="AA2238" s="1">
        <v>1940000</v>
      </c>
      <c r="AB2238" s="1" t="s">
        <v>1730</v>
      </c>
      <c r="AC2238" s="5">
        <v>43773</v>
      </c>
      <c r="AF2238" s="1">
        <v>10019</v>
      </c>
      <c r="AI2238" s="1" t="s">
        <v>154</v>
      </c>
      <c r="AJ2238" s="1">
        <v>2017</v>
      </c>
      <c r="AK2238" s="1" t="s">
        <v>81</v>
      </c>
      <c r="AL2238" s="1">
        <v>248</v>
      </c>
    </row>
    <row r="2239" spans="1:38" x14ac:dyDescent="0.2">
      <c r="A2239" s="2" t="str">
        <f>HYPERLINK("https://www.compass.com/listing/200-east-59th-street-unit-9b-manhattan-ny-10022/455764354772752873/","200 E 59th St, Unit 9B")</f>
        <v>200 E 59th St, Unit 9B</v>
      </c>
      <c r="B2239" s="2" t="str">
        <f t="shared" ref="B2239:B2242" si="368">HYPERLINK("https://www.compass.com/building/200-east-59th-street-manhattan-ny/292859303948266645/","200 East 59th Street")</f>
        <v>200 East 59th Street</v>
      </c>
      <c r="C2239" s="1" t="s">
        <v>171</v>
      </c>
      <c r="D2239" s="1" t="s">
        <v>41</v>
      </c>
      <c r="E2239" s="3">
        <v>2330000</v>
      </c>
      <c r="F2239" s="1">
        <v>2790.4191616766402</v>
      </c>
      <c r="G2239" s="1">
        <v>2.5</v>
      </c>
      <c r="H2239" s="1">
        <v>1</v>
      </c>
      <c r="I2239" s="1">
        <v>2</v>
      </c>
      <c r="J2239" s="1">
        <v>1.5</v>
      </c>
      <c r="K2239" s="1">
        <v>1</v>
      </c>
      <c r="L2239" s="1">
        <v>1</v>
      </c>
      <c r="M2239" s="1">
        <v>835</v>
      </c>
      <c r="N2239" s="1">
        <v>1369</v>
      </c>
      <c r="O2239" s="1">
        <v>2485</v>
      </c>
      <c r="P2239" s="1">
        <v>1116</v>
      </c>
      <c r="Q2239" s="1" t="s">
        <v>42</v>
      </c>
      <c r="S2239" s="1" t="s">
        <v>42</v>
      </c>
      <c r="T2239" s="1" t="s">
        <v>203</v>
      </c>
      <c r="U2239" s="1">
        <v>1097</v>
      </c>
      <c r="V2239" s="5">
        <v>44427</v>
      </c>
      <c r="W2239" s="5">
        <v>42783</v>
      </c>
      <c r="X2239" s="1">
        <v>2330000</v>
      </c>
      <c r="Y2239" s="1">
        <v>2330000</v>
      </c>
      <c r="Z2239" s="5">
        <v>43881</v>
      </c>
      <c r="AA2239" s="1">
        <v>2330000</v>
      </c>
      <c r="AB2239" s="1" t="s">
        <v>204</v>
      </c>
      <c r="AC2239" s="5">
        <v>44084</v>
      </c>
      <c r="AF2239" s="1">
        <v>10022</v>
      </c>
      <c r="AI2239" s="1" t="s">
        <v>98</v>
      </c>
      <c r="AJ2239" s="1">
        <v>2018</v>
      </c>
      <c r="AK2239" s="1" t="s">
        <v>50</v>
      </c>
      <c r="AL2239" s="1">
        <v>67</v>
      </c>
    </row>
    <row r="2240" spans="1:38" x14ac:dyDescent="0.2">
      <c r="A2240" s="2" t="str">
        <f>HYPERLINK("https://www.compass.com/listing/200-east-59th-street-unit-6c-manhattan-ny-10022/85401640932222689/","200 E 59th St, Unit 6C")</f>
        <v>200 E 59th St, Unit 6C</v>
      </c>
      <c r="B2240" s="2" t="str">
        <f t="shared" si="368"/>
        <v>200 East 59th Street</v>
      </c>
      <c r="C2240" s="1" t="s">
        <v>171</v>
      </c>
      <c r="D2240" s="1" t="s">
        <v>41</v>
      </c>
      <c r="E2240" s="3">
        <v>1825000</v>
      </c>
      <c r="F2240" s="1">
        <v>1510.76158940397</v>
      </c>
      <c r="G2240" s="1">
        <v>3.5</v>
      </c>
      <c r="H2240" s="1">
        <v>1</v>
      </c>
      <c r="I2240" s="1">
        <v>2</v>
      </c>
      <c r="J2240" s="1">
        <v>1.5</v>
      </c>
      <c r="K2240" s="1">
        <v>1</v>
      </c>
      <c r="L2240" s="1">
        <v>1</v>
      </c>
      <c r="M2240" s="4">
        <v>1208</v>
      </c>
      <c r="N2240" s="1">
        <v>1423</v>
      </c>
      <c r="O2240" s="1">
        <v>2719</v>
      </c>
      <c r="P2240" s="1">
        <v>1296</v>
      </c>
      <c r="Q2240" s="1" t="s">
        <v>42</v>
      </c>
      <c r="S2240" s="1" t="s">
        <v>42</v>
      </c>
      <c r="T2240" s="1" t="s">
        <v>203</v>
      </c>
      <c r="U2240" s="1">
        <v>425</v>
      </c>
      <c r="V2240" s="5">
        <v>43877</v>
      </c>
      <c r="W2240" s="5">
        <v>43370</v>
      </c>
      <c r="X2240" s="1">
        <v>1975000</v>
      </c>
      <c r="Y2240" s="1">
        <v>1975000</v>
      </c>
      <c r="Z2240" s="5">
        <v>43795</v>
      </c>
      <c r="AA2240" s="1">
        <v>1825000</v>
      </c>
      <c r="AB2240" s="1" t="s">
        <v>1746</v>
      </c>
      <c r="AC2240" s="5">
        <v>43859</v>
      </c>
      <c r="AF2240" s="1">
        <v>10022</v>
      </c>
      <c r="AI2240" s="1" t="s">
        <v>93</v>
      </c>
      <c r="AJ2240" s="1">
        <v>2018</v>
      </c>
      <c r="AK2240" s="1" t="s">
        <v>50</v>
      </c>
      <c r="AL2240" s="1">
        <v>67</v>
      </c>
    </row>
    <row r="2241" spans="1:38" x14ac:dyDescent="0.2">
      <c r="A2241" s="2" t="str">
        <f>HYPERLINK("https://www.compass.com/listing/200-east-59th-street-unit-15b-manhattan-ny-10022/85401642760939809/","200 E 59th St, Unit 15B")</f>
        <v>200 E 59th St, Unit 15B</v>
      </c>
      <c r="B2241" s="2" t="str">
        <f t="shared" si="368"/>
        <v>200 East 59th Street</v>
      </c>
      <c r="C2241" s="1" t="s">
        <v>171</v>
      </c>
      <c r="D2241" s="1" t="s">
        <v>41</v>
      </c>
      <c r="E2241" s="3">
        <v>1749549</v>
      </c>
      <c r="F2241" s="1">
        <v>1787.07737487231</v>
      </c>
      <c r="G2241" s="1">
        <v>2.5</v>
      </c>
      <c r="H2241" s="1">
        <v>1</v>
      </c>
      <c r="I2241" s="1">
        <v>2</v>
      </c>
      <c r="J2241" s="1">
        <v>1.5</v>
      </c>
      <c r="K2241" s="1">
        <v>1</v>
      </c>
      <c r="L2241" s="1">
        <v>1</v>
      </c>
      <c r="M2241" s="1">
        <v>979</v>
      </c>
      <c r="N2241" s="1">
        <v>1369</v>
      </c>
      <c r="O2241" s="1">
        <v>2485</v>
      </c>
      <c r="P2241" s="1">
        <v>1116</v>
      </c>
      <c r="Q2241" s="1" t="s">
        <v>42</v>
      </c>
      <c r="S2241" s="1" t="s">
        <v>42</v>
      </c>
      <c r="T2241" s="1" t="s">
        <v>203</v>
      </c>
      <c r="U2241" s="1">
        <v>351</v>
      </c>
      <c r="V2241" s="5">
        <v>44408</v>
      </c>
      <c r="W2241" s="5">
        <v>43370</v>
      </c>
      <c r="X2241" s="1">
        <v>2050000</v>
      </c>
      <c r="Y2241" s="1">
        <v>2050000</v>
      </c>
      <c r="Z2241" s="5">
        <v>43721</v>
      </c>
      <c r="AA2241" s="1">
        <v>1749548.75</v>
      </c>
      <c r="AB2241" s="1" t="s">
        <v>1747</v>
      </c>
      <c r="AC2241" s="5">
        <v>43866</v>
      </c>
      <c r="AF2241" s="1">
        <v>10022</v>
      </c>
      <c r="AI2241" s="1" t="s">
        <v>98</v>
      </c>
      <c r="AJ2241" s="1">
        <v>2018</v>
      </c>
      <c r="AK2241" s="1" t="s">
        <v>50</v>
      </c>
      <c r="AL2241" s="1">
        <v>67</v>
      </c>
    </row>
    <row r="2242" spans="1:38" x14ac:dyDescent="0.2">
      <c r="A2242" s="2" t="str">
        <f>HYPERLINK("https://www.compass.com/listing/200-east-59th-street-unit-15c-manhattan-ny-10022/85944345433217793/","200 E 59th St, Unit 15C")</f>
        <v>200 E 59th St, Unit 15C</v>
      </c>
      <c r="B2242" s="2" t="str">
        <f t="shared" si="368"/>
        <v>200 East 59th Street</v>
      </c>
      <c r="C2242" s="1" t="s">
        <v>171</v>
      </c>
      <c r="D2242" s="1" t="s">
        <v>41</v>
      </c>
      <c r="E2242" s="3">
        <v>2480000</v>
      </c>
      <c r="F2242" s="1">
        <v>2052.9801324503301</v>
      </c>
      <c r="G2242" s="1">
        <v>3.5</v>
      </c>
      <c r="H2242" s="1">
        <v>1</v>
      </c>
      <c r="I2242" s="1">
        <v>2</v>
      </c>
      <c r="J2242" s="1">
        <v>1.5</v>
      </c>
      <c r="K2242" s="1">
        <v>1</v>
      </c>
      <c r="L2242" s="1">
        <v>1</v>
      </c>
      <c r="M2242" s="4">
        <v>1208</v>
      </c>
      <c r="N2242" s="1">
        <v>1423</v>
      </c>
      <c r="O2242" s="1">
        <v>2719</v>
      </c>
      <c r="P2242" s="1">
        <v>1296</v>
      </c>
      <c r="Q2242" s="1" t="s">
        <v>42</v>
      </c>
      <c r="S2242" s="1" t="s">
        <v>42</v>
      </c>
      <c r="T2242" s="1" t="s">
        <v>203</v>
      </c>
      <c r="U2242" s="1">
        <v>492</v>
      </c>
      <c r="V2242" s="5">
        <v>43877</v>
      </c>
      <c r="W2242" s="5">
        <v>43367</v>
      </c>
      <c r="X2242" s="1">
        <v>2500000</v>
      </c>
      <c r="Y2242" s="1">
        <v>2500000</v>
      </c>
      <c r="AA2242" s="1">
        <v>2480000</v>
      </c>
      <c r="AB2242" s="1" t="s">
        <v>1748</v>
      </c>
      <c r="AC2242" s="5">
        <v>43859</v>
      </c>
      <c r="AF2242" s="1">
        <v>10022</v>
      </c>
      <c r="AI2242" s="1" t="s">
        <v>93</v>
      </c>
      <c r="AJ2242" s="1">
        <v>2018</v>
      </c>
      <c r="AK2242" s="1" t="s">
        <v>50</v>
      </c>
      <c r="AL2242" s="1">
        <v>67</v>
      </c>
    </row>
    <row r="2243" spans="1:38" x14ac:dyDescent="0.2">
      <c r="A2243" s="2" t="str">
        <f>HYPERLINK("https://www.compass.com/listing/301-west-53rd-street-unit-10e-manhattan-ny-10019/29388134391288513/","301 W 53rd St, Unit 10E")</f>
        <v>301 W 53rd St, Unit 10E</v>
      </c>
      <c r="B2243" s="2" t="str">
        <f t="shared" ref="B2243:B2255" si="369">HYPERLINK("https://www.compass.com/building/fifty-third-and-eighth-manhattan-ny/281944545158031557/","Fifty Third and Eighth")</f>
        <v>Fifty Third and Eighth</v>
      </c>
      <c r="C2243" s="1" t="s">
        <v>57</v>
      </c>
      <c r="D2243" s="1" t="s">
        <v>41</v>
      </c>
      <c r="E2243" s="3">
        <v>1797029</v>
      </c>
      <c r="F2243" s="1">
        <v>1729.5758421559101</v>
      </c>
      <c r="H2243" s="1">
        <v>2</v>
      </c>
      <c r="J2243" s="1">
        <v>2</v>
      </c>
      <c r="K2243" s="1">
        <v>2</v>
      </c>
      <c r="M2243" s="4">
        <v>1039</v>
      </c>
      <c r="N2243" s="1">
        <v>949</v>
      </c>
      <c r="O2243" s="1">
        <v>2090</v>
      </c>
      <c r="P2243" s="1">
        <v>1141</v>
      </c>
      <c r="Q2243" s="1" t="s">
        <v>42</v>
      </c>
      <c r="S2243" s="1" t="s">
        <v>42</v>
      </c>
      <c r="T2243" s="1" t="s">
        <v>203</v>
      </c>
      <c r="AA2243" s="1">
        <v>1797029.3</v>
      </c>
      <c r="AB2243" s="1" t="s">
        <v>1749</v>
      </c>
      <c r="AC2243" s="5">
        <v>42550</v>
      </c>
      <c r="AF2243" s="1">
        <v>10019</v>
      </c>
      <c r="AI2243" s="1" t="s">
        <v>76</v>
      </c>
      <c r="AJ2243" s="1">
        <v>2017</v>
      </c>
      <c r="AK2243" s="1" t="s">
        <v>50</v>
      </c>
      <c r="AL2243" s="1">
        <v>248</v>
      </c>
    </row>
    <row r="2244" spans="1:38" x14ac:dyDescent="0.2">
      <c r="A2244" s="2" t="str">
        <f>HYPERLINK("https://www.compass.com/listing/301-west-53rd-street-unit-10e-manhattan-ny-10019/29388134391288529/","301 W 53rd St, Unit 10E")</f>
        <v>301 W 53rd St, Unit 10E</v>
      </c>
      <c r="B2244" s="2" t="str">
        <f t="shared" si="369"/>
        <v>Fifty Third and Eighth</v>
      </c>
      <c r="C2244" s="1" t="s">
        <v>57</v>
      </c>
      <c r="D2244" s="1" t="s">
        <v>41</v>
      </c>
      <c r="E2244" s="3">
        <v>1960000</v>
      </c>
      <c r="F2244" s="1">
        <v>1886.42925890279</v>
      </c>
      <c r="H2244" s="1">
        <v>2</v>
      </c>
      <c r="J2244" s="1">
        <v>2</v>
      </c>
      <c r="K2244" s="1">
        <v>2</v>
      </c>
      <c r="M2244" s="4">
        <v>1039</v>
      </c>
      <c r="N2244" s="1">
        <v>949</v>
      </c>
      <c r="O2244" s="1">
        <v>2090</v>
      </c>
      <c r="P2244" s="1">
        <v>1141</v>
      </c>
      <c r="Q2244" s="1" t="s">
        <v>42</v>
      </c>
      <c r="S2244" s="1" t="s">
        <v>42</v>
      </c>
      <c r="T2244" s="1" t="s">
        <v>203</v>
      </c>
      <c r="AA2244" s="1">
        <v>1960000</v>
      </c>
      <c r="AB2244" s="1" t="s">
        <v>1750</v>
      </c>
      <c r="AC2244" s="5">
        <v>43046</v>
      </c>
      <c r="AF2244" s="1">
        <v>10019</v>
      </c>
      <c r="AI2244" s="1" t="s">
        <v>76</v>
      </c>
      <c r="AJ2244" s="1">
        <v>2017</v>
      </c>
      <c r="AK2244" s="1" t="s">
        <v>50</v>
      </c>
      <c r="AL2244" s="1">
        <v>248</v>
      </c>
    </row>
    <row r="2245" spans="1:38" x14ac:dyDescent="0.2">
      <c r="A2245" s="2" t="str">
        <f>HYPERLINK("https://www.compass.com/listing/301-west-53rd-street-unit-24a-manhattan-ny-10019/29388186325105809/","301 W 53rd St, Unit 24A")</f>
        <v>301 W 53rd St, Unit 24A</v>
      </c>
      <c r="B2245" s="2" t="str">
        <f t="shared" si="369"/>
        <v>Fifty Third and Eighth</v>
      </c>
      <c r="C2245" s="1" t="s">
        <v>57</v>
      </c>
      <c r="D2245" s="1" t="s">
        <v>41</v>
      </c>
      <c r="E2245" s="3">
        <v>2166193</v>
      </c>
      <c r="F2245" s="1">
        <v>2084.8826660250202</v>
      </c>
      <c r="H2245" s="1">
        <v>2</v>
      </c>
      <c r="J2245" s="1">
        <v>2</v>
      </c>
      <c r="K2245" s="1">
        <v>2</v>
      </c>
      <c r="M2245" s="4">
        <v>1039</v>
      </c>
      <c r="N2245" s="1">
        <v>1012</v>
      </c>
      <c r="O2245" s="1">
        <v>2202</v>
      </c>
      <c r="P2245" s="1">
        <v>1190</v>
      </c>
      <c r="Q2245" s="1" t="s">
        <v>42</v>
      </c>
      <c r="S2245" s="1" t="s">
        <v>42</v>
      </c>
      <c r="T2245" s="1" t="s">
        <v>203</v>
      </c>
      <c r="AA2245" s="1">
        <v>2166193.09</v>
      </c>
      <c r="AB2245" s="1" t="s">
        <v>1751</v>
      </c>
      <c r="AC2245" s="5">
        <v>42268</v>
      </c>
      <c r="AF2245" s="1">
        <v>10019</v>
      </c>
      <c r="AI2245" s="1" t="s">
        <v>76</v>
      </c>
      <c r="AJ2245" s="1">
        <v>2017</v>
      </c>
      <c r="AK2245" s="1" t="s">
        <v>50</v>
      </c>
      <c r="AL2245" s="1">
        <v>248</v>
      </c>
    </row>
    <row r="2246" spans="1:38" x14ac:dyDescent="0.2">
      <c r="A2246" s="2" t="str">
        <f>HYPERLINK("https://www.compass.com/listing/301-west-53rd-street-unit-22e-manhattan-ny-10019/841256378815824817/","301 W 53rd St, Unit 22E")</f>
        <v>301 W 53rd St, Unit 22E</v>
      </c>
      <c r="B2246" s="2" t="str">
        <f t="shared" si="369"/>
        <v>Fifty Third and Eighth</v>
      </c>
      <c r="C2246" s="1" t="s">
        <v>57</v>
      </c>
      <c r="D2246" s="1" t="s">
        <v>41</v>
      </c>
      <c r="E2246" s="3">
        <v>1992302</v>
      </c>
      <c r="F2246" s="1">
        <v>1917.5184889316599</v>
      </c>
      <c r="H2246" s="1">
        <v>2</v>
      </c>
      <c r="J2246" s="1">
        <v>2</v>
      </c>
      <c r="K2246" s="1">
        <v>2</v>
      </c>
      <c r="M2246" s="4">
        <v>1039</v>
      </c>
      <c r="N2246" s="1">
        <v>903</v>
      </c>
      <c r="O2246" s="1">
        <v>2202</v>
      </c>
      <c r="P2246" s="1">
        <v>1299</v>
      </c>
      <c r="Q2246" s="1" t="s">
        <v>42</v>
      </c>
      <c r="S2246" s="1" t="s">
        <v>42</v>
      </c>
      <c r="T2246" s="1" t="s">
        <v>203</v>
      </c>
      <c r="AA2246" s="1">
        <v>1992301.71</v>
      </c>
      <c r="AB2246" s="1" t="s">
        <v>1752</v>
      </c>
      <c r="AC2246" s="5">
        <v>42277</v>
      </c>
      <c r="AF2246" s="1">
        <v>10019</v>
      </c>
      <c r="AI2246" s="1" t="s">
        <v>76</v>
      </c>
      <c r="AJ2246" s="1">
        <v>2017</v>
      </c>
      <c r="AK2246" s="1" t="s">
        <v>50</v>
      </c>
      <c r="AL2246" s="1">
        <v>248</v>
      </c>
    </row>
    <row r="2247" spans="1:38" x14ac:dyDescent="0.2">
      <c r="A2247" s="2" t="str">
        <f>HYPERLINK("https://www.compass.com/listing/301-west-53rd-street-unit-8a-manhattan-ny-10019/277067185891881553/","301 W 53rd St, Unit 8A")</f>
        <v>301 W 53rd St, Unit 8A</v>
      </c>
      <c r="B2247" s="2" t="str">
        <f t="shared" si="369"/>
        <v>Fifty Third and Eighth</v>
      </c>
      <c r="C2247" s="1" t="s">
        <v>57</v>
      </c>
      <c r="D2247" s="1" t="s">
        <v>41</v>
      </c>
      <c r="E2247" s="3">
        <v>1870000</v>
      </c>
      <c r="F2247" s="1">
        <v>1799.8075072184699</v>
      </c>
      <c r="H2247" s="1">
        <v>3</v>
      </c>
      <c r="J2247" s="1">
        <v>2</v>
      </c>
      <c r="M2247" s="4">
        <v>1039</v>
      </c>
      <c r="N2247" s="1">
        <v>846</v>
      </c>
      <c r="O2247" s="1">
        <v>2062</v>
      </c>
      <c r="P2247" s="1">
        <v>1216</v>
      </c>
      <c r="Q2247" s="1" t="s">
        <v>42</v>
      </c>
      <c r="S2247" s="1" t="s">
        <v>42</v>
      </c>
      <c r="T2247" s="1" t="s">
        <v>203</v>
      </c>
      <c r="AA2247" s="1">
        <v>1870000</v>
      </c>
      <c r="AB2247" s="1" t="s">
        <v>1753</v>
      </c>
      <c r="AC2247" s="5">
        <v>42937</v>
      </c>
      <c r="AF2247" s="1">
        <v>10019</v>
      </c>
      <c r="AI2247" s="1" t="s">
        <v>76</v>
      </c>
      <c r="AJ2247" s="1">
        <v>2017</v>
      </c>
      <c r="AK2247" s="1" t="s">
        <v>50</v>
      </c>
      <c r="AL2247" s="1">
        <v>248</v>
      </c>
    </row>
    <row r="2248" spans="1:38" x14ac:dyDescent="0.2">
      <c r="A2248" s="2" t="str">
        <f>HYPERLINK("https://www.compass.com/listing/301-west-53rd-street-unit-10f-manhattan-ny-10019/29388134735229681/","301 W 53rd St, Unit 10F")</f>
        <v>301 W 53rd St, Unit 10F</v>
      </c>
      <c r="B2248" s="2" t="str">
        <f t="shared" si="369"/>
        <v>Fifty Third and Eighth</v>
      </c>
      <c r="C2248" s="1" t="s">
        <v>57</v>
      </c>
      <c r="D2248" s="1" t="s">
        <v>41</v>
      </c>
      <c r="E2248" s="3">
        <v>1803279</v>
      </c>
      <c r="F2248" s="1">
        <v>1733.9221634615301</v>
      </c>
      <c r="H2248" s="1">
        <v>3</v>
      </c>
      <c r="J2248" s="1">
        <v>2</v>
      </c>
      <c r="M2248" s="4">
        <v>1040</v>
      </c>
      <c r="N2248" s="1">
        <v>884</v>
      </c>
      <c r="O2248" s="1">
        <v>2030</v>
      </c>
      <c r="P2248" s="1">
        <v>1146</v>
      </c>
      <c r="Q2248" s="1" t="s">
        <v>42</v>
      </c>
      <c r="S2248" s="1" t="s">
        <v>42</v>
      </c>
      <c r="T2248" s="1" t="s">
        <v>203</v>
      </c>
      <c r="AA2248" s="1">
        <v>1803279.05</v>
      </c>
      <c r="AB2248" s="1" t="s">
        <v>1754</v>
      </c>
      <c r="AC2248" s="5">
        <v>42531</v>
      </c>
      <c r="AF2248" s="1">
        <v>10019</v>
      </c>
      <c r="AI2248" s="1" t="s">
        <v>76</v>
      </c>
      <c r="AJ2248" s="1">
        <v>2017</v>
      </c>
      <c r="AK2248" s="1" t="s">
        <v>50</v>
      </c>
      <c r="AL2248" s="1">
        <v>248</v>
      </c>
    </row>
    <row r="2249" spans="1:38" x14ac:dyDescent="0.2">
      <c r="A2249" s="2" t="str">
        <f>HYPERLINK("https://www.compass.com/listing/301-west-53rd-street-unit-16k-manhattan-ny-10019/29388161075451073/","301 W 53rd St, Unit 16K")</f>
        <v>301 W 53rd St, Unit 16K</v>
      </c>
      <c r="B2249" s="2" t="str">
        <f t="shared" si="369"/>
        <v>Fifty Third and Eighth</v>
      </c>
      <c r="C2249" s="1" t="s">
        <v>57</v>
      </c>
      <c r="D2249" s="1" t="s">
        <v>41</v>
      </c>
      <c r="E2249" s="3">
        <v>1877109</v>
      </c>
      <c r="F2249" s="1">
        <v>1804.91289423076</v>
      </c>
      <c r="H2249" s="1">
        <v>3</v>
      </c>
      <c r="J2249" s="1">
        <v>2</v>
      </c>
      <c r="M2249" s="4">
        <v>1040</v>
      </c>
      <c r="N2249" s="1">
        <v>910</v>
      </c>
      <c r="O2249" s="1">
        <v>2089</v>
      </c>
      <c r="P2249" s="1">
        <v>1179</v>
      </c>
      <c r="Q2249" s="1" t="s">
        <v>42</v>
      </c>
      <c r="S2249" s="1" t="s">
        <v>42</v>
      </c>
      <c r="T2249" s="1" t="s">
        <v>203</v>
      </c>
      <c r="AA2249" s="1">
        <v>1877109.41</v>
      </c>
      <c r="AB2249" s="1" t="s">
        <v>1755</v>
      </c>
      <c r="AC2249" s="5">
        <v>42257</v>
      </c>
      <c r="AF2249" s="1">
        <v>10019</v>
      </c>
      <c r="AI2249" s="1" t="s">
        <v>76</v>
      </c>
      <c r="AJ2249" s="1">
        <v>2017</v>
      </c>
      <c r="AK2249" s="1" t="s">
        <v>50</v>
      </c>
      <c r="AL2249" s="1">
        <v>248</v>
      </c>
    </row>
    <row r="2250" spans="1:38" x14ac:dyDescent="0.2">
      <c r="A2250" s="2" t="str">
        <f>HYPERLINK("https://www.compass.com/listing/301-west-53rd-street-unit-17k-manhattan-ny-10019/29388165915677985/","301 W 53rd St, Unit 17K")</f>
        <v>301 W 53rd St, Unit 17K</v>
      </c>
      <c r="B2250" s="2" t="str">
        <f t="shared" si="369"/>
        <v>Fifty Third and Eighth</v>
      </c>
      <c r="C2250" s="1" t="s">
        <v>57</v>
      </c>
      <c r="D2250" s="1" t="s">
        <v>41</v>
      </c>
      <c r="E2250" s="3">
        <v>1826378</v>
      </c>
      <c r="F2250" s="1">
        <v>1756.1327211538401</v>
      </c>
      <c r="H2250" s="1">
        <v>3</v>
      </c>
      <c r="J2250" s="1">
        <v>2</v>
      </c>
      <c r="M2250" s="4">
        <v>1040</v>
      </c>
      <c r="N2250" s="1">
        <v>889</v>
      </c>
      <c r="O2250" s="1">
        <v>2168</v>
      </c>
      <c r="P2250" s="1">
        <v>1279</v>
      </c>
      <c r="Q2250" s="1" t="s">
        <v>42</v>
      </c>
      <c r="S2250" s="1" t="s">
        <v>42</v>
      </c>
      <c r="T2250" s="1" t="s">
        <v>203</v>
      </c>
      <c r="AA2250" s="1">
        <v>1826378.03</v>
      </c>
      <c r="AB2250" s="1" t="s">
        <v>1756</v>
      </c>
      <c r="AC2250" s="5">
        <v>42719</v>
      </c>
      <c r="AF2250" s="1">
        <v>10019</v>
      </c>
      <c r="AI2250" s="1" t="s">
        <v>76</v>
      </c>
      <c r="AJ2250" s="1">
        <v>2017</v>
      </c>
      <c r="AK2250" s="1" t="s">
        <v>50</v>
      </c>
      <c r="AL2250" s="1">
        <v>248</v>
      </c>
    </row>
    <row r="2251" spans="1:38" x14ac:dyDescent="0.2">
      <c r="A2251" s="2" t="str">
        <f>HYPERLINK("https://www.compass.com/listing/301-west-53rd-street-unit-21a-manhattan-ny-10019/29388175218588577/","301 W 53rd St, Unit 21A")</f>
        <v>301 W 53rd St, Unit 21A</v>
      </c>
      <c r="B2251" s="2" t="str">
        <f t="shared" si="369"/>
        <v>Fifty Third and Eighth</v>
      </c>
      <c r="C2251" s="1" t="s">
        <v>57</v>
      </c>
      <c r="D2251" s="1" t="s">
        <v>41</v>
      </c>
      <c r="E2251" s="3">
        <v>1807269</v>
      </c>
      <c r="F2251" s="1">
        <v>1739.43072184793</v>
      </c>
      <c r="H2251" s="1">
        <v>3</v>
      </c>
      <c r="J2251" s="1">
        <v>2</v>
      </c>
      <c r="K2251" s="1">
        <v>2</v>
      </c>
      <c r="M2251" s="4">
        <v>1039</v>
      </c>
      <c r="N2251" s="1">
        <v>1038</v>
      </c>
      <c r="O2251" s="1">
        <v>2779</v>
      </c>
      <c r="P2251" s="1">
        <v>1741</v>
      </c>
      <c r="Q2251" s="1" t="s">
        <v>42</v>
      </c>
      <c r="S2251" s="1" t="s">
        <v>42</v>
      </c>
      <c r="T2251" s="1" t="s">
        <v>203</v>
      </c>
      <c r="AA2251" s="1">
        <v>1807268.52</v>
      </c>
      <c r="AB2251" s="1" t="s">
        <v>1757</v>
      </c>
      <c r="AC2251" s="5">
        <v>43035</v>
      </c>
      <c r="AF2251" s="1">
        <v>10019</v>
      </c>
      <c r="AI2251" s="1" t="s">
        <v>76</v>
      </c>
      <c r="AJ2251" s="1">
        <v>2017</v>
      </c>
      <c r="AK2251" s="1" t="s">
        <v>50</v>
      </c>
      <c r="AL2251" s="1">
        <v>248</v>
      </c>
    </row>
    <row r="2252" spans="1:38" x14ac:dyDescent="0.2">
      <c r="A2252" s="2" t="str">
        <f>HYPERLINK("https://www.compass.com/listing/301-west-53rd-street-unit-16e-manhattan-ny-10019/29507302671292353/","301 W 53rd St, Unit 16E")</f>
        <v>301 W 53rd St, Unit 16E</v>
      </c>
      <c r="B2252" s="2" t="str">
        <f t="shared" si="369"/>
        <v>Fifty Third and Eighth</v>
      </c>
      <c r="C2252" s="1" t="s">
        <v>57</v>
      </c>
      <c r="D2252" s="1" t="s">
        <v>41</v>
      </c>
      <c r="E2252" s="3">
        <v>1882103</v>
      </c>
      <c r="F2252" s="1">
        <v>1811.45579403272</v>
      </c>
      <c r="H2252" s="1">
        <v>3</v>
      </c>
      <c r="J2252" s="1">
        <v>2</v>
      </c>
      <c r="K2252" s="1">
        <v>2</v>
      </c>
      <c r="M2252" s="4">
        <v>1039</v>
      </c>
      <c r="N2252" s="1">
        <v>976.07</v>
      </c>
      <c r="O2252" s="1">
        <v>2423.4899999999998</v>
      </c>
      <c r="P2252" s="1">
        <v>1447.4166666666599</v>
      </c>
      <c r="Q2252" s="1" t="s">
        <v>42</v>
      </c>
      <c r="S2252" s="1" t="s">
        <v>42</v>
      </c>
      <c r="T2252" s="1" t="s">
        <v>203</v>
      </c>
      <c r="AA2252" s="1">
        <v>1882102.57</v>
      </c>
      <c r="AB2252" s="1" t="s">
        <v>1758</v>
      </c>
      <c r="AC2252" s="5">
        <v>42284</v>
      </c>
      <c r="AF2252" s="1">
        <v>10019</v>
      </c>
      <c r="AI2252" s="1" t="s">
        <v>76</v>
      </c>
      <c r="AJ2252" s="1">
        <v>2017</v>
      </c>
      <c r="AK2252" s="1" t="s">
        <v>50</v>
      </c>
      <c r="AL2252" s="1">
        <v>248</v>
      </c>
    </row>
    <row r="2253" spans="1:38" x14ac:dyDescent="0.2">
      <c r="A2253" s="2" t="str">
        <f>HYPERLINK("https://www.compass.com/listing/301-west-53rd-street-unit-25k-manhattan-ny-10019/29507302990112257/","301 W 53rd St, Unit 25K")</f>
        <v>301 W 53rd St, Unit 25K</v>
      </c>
      <c r="B2253" s="2" t="str">
        <f t="shared" si="369"/>
        <v>Fifty Third and Eighth</v>
      </c>
      <c r="C2253" s="1" t="s">
        <v>57</v>
      </c>
      <c r="D2253" s="1" t="s">
        <v>41</v>
      </c>
      <c r="E2253" s="3">
        <v>2156051</v>
      </c>
      <c r="F2253" s="1">
        <v>2073.1260288461499</v>
      </c>
      <c r="H2253" s="1">
        <v>3</v>
      </c>
      <c r="J2253" s="1">
        <v>2</v>
      </c>
      <c r="K2253" s="1">
        <v>2</v>
      </c>
      <c r="M2253" s="4">
        <v>1040</v>
      </c>
      <c r="N2253" s="1">
        <v>926</v>
      </c>
      <c r="O2253" s="1">
        <v>2088</v>
      </c>
      <c r="P2253" s="1">
        <v>1162</v>
      </c>
      <c r="Q2253" s="1" t="s">
        <v>42</v>
      </c>
      <c r="S2253" s="1" t="s">
        <v>42</v>
      </c>
      <c r="T2253" s="1" t="s">
        <v>203</v>
      </c>
      <c r="AA2253" s="1">
        <v>2156051.0699999998</v>
      </c>
      <c r="AB2253" s="1" t="s">
        <v>1759</v>
      </c>
      <c r="AC2253" s="5">
        <v>42405</v>
      </c>
      <c r="AF2253" s="1">
        <v>10019</v>
      </c>
      <c r="AI2253" s="1" t="s">
        <v>76</v>
      </c>
      <c r="AJ2253" s="1">
        <v>2017</v>
      </c>
      <c r="AK2253" s="1" t="s">
        <v>50</v>
      </c>
      <c r="AL2253" s="1">
        <v>248</v>
      </c>
    </row>
    <row r="2254" spans="1:38" x14ac:dyDescent="0.2">
      <c r="A2254" s="2" t="str">
        <f>HYPERLINK("https://www.compass.com/listing/301-west-53rd-street-unit-22a-manhattan-ny-10019/548271324916176705/","301 W 53rd St, Unit 22A")</f>
        <v>301 W 53rd St, Unit 22A</v>
      </c>
      <c r="B2254" s="2" t="str">
        <f t="shared" si="369"/>
        <v>Fifty Third and Eighth</v>
      </c>
      <c r="C2254" s="1" t="s">
        <v>57</v>
      </c>
      <c r="D2254" s="1" t="s">
        <v>41</v>
      </c>
      <c r="E2254" s="3">
        <v>1507302</v>
      </c>
      <c r="F2254" s="1">
        <v>1450.72349374398</v>
      </c>
      <c r="H2254" s="1">
        <v>3</v>
      </c>
      <c r="J2254" s="1">
        <v>2</v>
      </c>
      <c r="K2254" s="1">
        <v>2</v>
      </c>
      <c r="M2254" s="4">
        <v>1039</v>
      </c>
      <c r="N2254" s="1">
        <v>1061</v>
      </c>
      <c r="O2254" s="1">
        <v>2810</v>
      </c>
      <c r="P2254" s="1">
        <v>1749</v>
      </c>
      <c r="Q2254" s="1" t="s">
        <v>42</v>
      </c>
      <c r="S2254" s="1" t="s">
        <v>42</v>
      </c>
      <c r="T2254" s="1" t="s">
        <v>203</v>
      </c>
      <c r="AA2254" s="1">
        <v>1507301.71</v>
      </c>
      <c r="AB2254" s="1" t="s">
        <v>1760</v>
      </c>
      <c r="AC2254" s="5">
        <v>43997</v>
      </c>
      <c r="AF2254" s="1">
        <v>10019</v>
      </c>
      <c r="AI2254" s="1" t="s">
        <v>76</v>
      </c>
      <c r="AJ2254" s="1">
        <v>2017</v>
      </c>
      <c r="AK2254" s="1" t="s">
        <v>50</v>
      </c>
      <c r="AL2254" s="1">
        <v>248</v>
      </c>
    </row>
    <row r="2255" spans="1:38" x14ac:dyDescent="0.2">
      <c r="A2255" s="2" t="str">
        <f>HYPERLINK("https://www.compass.com/listing/301-west-53rd-street-unit-8a-manhattan-ny-10019/841256251920473529/","301 W 53rd St, Unit 8A")</f>
        <v>301 W 53rd St, Unit 8A</v>
      </c>
      <c r="B2255" s="2" t="str">
        <f t="shared" si="369"/>
        <v>Fifty Third and Eighth</v>
      </c>
      <c r="C2255" s="1" t="s">
        <v>57</v>
      </c>
      <c r="D2255" s="1" t="s">
        <v>41</v>
      </c>
      <c r="E2255" s="3">
        <v>1807394</v>
      </c>
      <c r="F2255" s="1">
        <v>1739.55125120307</v>
      </c>
      <c r="H2255" s="1">
        <v>3</v>
      </c>
      <c r="J2255" s="1">
        <v>2</v>
      </c>
      <c r="M2255" s="4">
        <v>1039</v>
      </c>
      <c r="N2255" s="1">
        <v>846</v>
      </c>
      <c r="O2255" s="1">
        <v>2062</v>
      </c>
      <c r="P2255" s="1">
        <v>1216</v>
      </c>
      <c r="Q2255" s="1" t="s">
        <v>42</v>
      </c>
      <c r="S2255" s="1" t="s">
        <v>42</v>
      </c>
      <c r="T2255" s="1" t="s">
        <v>203</v>
      </c>
      <c r="AA2255" s="1">
        <v>1807393.75</v>
      </c>
      <c r="AB2255" s="1" t="s">
        <v>1761</v>
      </c>
      <c r="AC2255" s="5">
        <v>42277</v>
      </c>
      <c r="AF2255" s="1">
        <v>10019</v>
      </c>
      <c r="AI2255" s="1" t="s">
        <v>76</v>
      </c>
      <c r="AJ2255" s="1">
        <v>2017</v>
      </c>
      <c r="AK2255" s="1" t="s">
        <v>50</v>
      </c>
      <c r="AL2255" s="1">
        <v>248</v>
      </c>
    </row>
    <row r="2256" spans="1:38" x14ac:dyDescent="0.2">
      <c r="A2256" s="2" t="str">
        <f>HYPERLINK("https://www.compass.com/listing/17-convent-avenue-unit-2c-manhattan-ny-10027/736257061280406569/","17 Convent Ave, Unit 2C")</f>
        <v>17 Convent Ave, Unit 2C</v>
      </c>
      <c r="B2256" s="2" t="str">
        <f>HYPERLINK("https://www.compass.com/building/17-convent-avenue-manhattan-ny/281979525124947109/","17 Convent Avenue")</f>
        <v>17 Convent Avenue</v>
      </c>
      <c r="C2256" s="1" t="s">
        <v>131</v>
      </c>
      <c r="D2256" s="1" t="s">
        <v>41</v>
      </c>
      <c r="E2256" s="3">
        <v>1100000</v>
      </c>
      <c r="F2256" s="1">
        <v>1046.6222645099899</v>
      </c>
      <c r="G2256" s="1">
        <v>4</v>
      </c>
      <c r="H2256" s="1">
        <v>2</v>
      </c>
      <c r="I2256" s="1">
        <v>2</v>
      </c>
      <c r="J2256" s="1">
        <v>2</v>
      </c>
      <c r="K2256" s="1">
        <v>2</v>
      </c>
      <c r="M2256" s="4">
        <v>1051</v>
      </c>
      <c r="N2256" s="1">
        <v>599</v>
      </c>
      <c r="O2256" s="1">
        <v>1165</v>
      </c>
      <c r="P2256" s="1">
        <v>566</v>
      </c>
      <c r="Q2256" s="1" t="s">
        <v>42</v>
      </c>
      <c r="S2256" s="1" t="s">
        <v>42</v>
      </c>
      <c r="T2256" s="1" t="s">
        <v>203</v>
      </c>
      <c r="U2256" s="1">
        <v>98</v>
      </c>
      <c r="V2256" s="5">
        <v>44413</v>
      </c>
      <c r="W2256" s="5">
        <v>44267</v>
      </c>
      <c r="X2256" s="1">
        <v>1148000</v>
      </c>
      <c r="Y2256" s="1">
        <v>1148000</v>
      </c>
      <c r="Z2256" s="5">
        <v>44365</v>
      </c>
      <c r="AA2256" s="1">
        <v>1100000</v>
      </c>
      <c r="AB2256" s="1" t="s">
        <v>204</v>
      </c>
      <c r="AC2256" s="5">
        <v>44411</v>
      </c>
      <c r="AF2256" s="1">
        <v>10027</v>
      </c>
      <c r="AI2256" s="1" t="s">
        <v>49</v>
      </c>
      <c r="AJ2256" s="1">
        <v>2019</v>
      </c>
      <c r="AK2256" s="1" t="s">
        <v>162</v>
      </c>
      <c r="AL2256" s="1">
        <v>21</v>
      </c>
    </row>
    <row r="2257" spans="1:38" x14ac:dyDescent="0.2">
      <c r="A2257" s="2" t="str">
        <f>HYPERLINK("https://www.compass.com/listing/301-west-53rd-street-unit-6ef-manhattan-ny-10019/29388117572129105/","301 W 53rd St, Unit 6EF")</f>
        <v>301 W 53rd St, Unit 6EF</v>
      </c>
      <c r="B2257" s="2" t="str">
        <f>HYPERLINK("https://www.compass.com/building/fifty-third-and-eighth-manhattan-ny/281944545158031557/","Fifty Third and Eighth")</f>
        <v>Fifty Third and Eighth</v>
      </c>
      <c r="C2257" s="1" t="s">
        <v>57</v>
      </c>
      <c r="D2257" s="1" t="s">
        <v>41</v>
      </c>
      <c r="E2257" s="3">
        <v>3413797</v>
      </c>
      <c r="F2257" s="1">
        <v>1642.0379990379899</v>
      </c>
      <c r="G2257" s="1">
        <v>9</v>
      </c>
      <c r="H2257" s="1">
        <v>5</v>
      </c>
      <c r="I2257" s="1">
        <v>4</v>
      </c>
      <c r="J2257" s="1">
        <v>4</v>
      </c>
      <c r="M2257" s="4">
        <v>2079</v>
      </c>
      <c r="N2257" s="1">
        <v>1675</v>
      </c>
      <c r="O2257" s="1">
        <v>4085</v>
      </c>
      <c r="P2257" s="1">
        <v>2410</v>
      </c>
      <c r="Q2257" s="1" t="s">
        <v>42</v>
      </c>
      <c r="S2257" s="1" t="s">
        <v>42</v>
      </c>
      <c r="T2257" s="1" t="s">
        <v>203</v>
      </c>
      <c r="V2257" s="5">
        <v>43678</v>
      </c>
      <c r="W2257" s="5">
        <v>42285</v>
      </c>
      <c r="X2257" s="1">
        <v>3465000</v>
      </c>
      <c r="Y2257" s="1">
        <v>3465000</v>
      </c>
      <c r="Z2257" s="5">
        <v>42285</v>
      </c>
      <c r="AA2257" s="1">
        <v>3413797</v>
      </c>
      <c r="AB2257" s="1" t="s">
        <v>1762</v>
      </c>
      <c r="AC2257" s="5">
        <v>42490</v>
      </c>
      <c r="AF2257" s="1">
        <v>10019</v>
      </c>
      <c r="AI2257" s="1" t="s">
        <v>76</v>
      </c>
      <c r="AJ2257" s="1">
        <v>2017</v>
      </c>
      <c r="AK2257" s="1" t="s">
        <v>50</v>
      </c>
      <c r="AL2257" s="1">
        <v>248</v>
      </c>
    </row>
    <row r="2258" spans="1:38" x14ac:dyDescent="0.2">
      <c r="A2258" s="2" t="str">
        <f>HYPERLINK("https://www.compass.com/listing/245-east-53rd-street-unit-5-manhattan-ny-10022/456242802822225297/","245 E 53rd St, Unit 5")</f>
        <v>245 E 53rd St, Unit 5</v>
      </c>
      <c r="B2258" s="2" t="str">
        <f t="shared" ref="B2258:B2259" si="370">HYPERLINK("https://www.compass.com/building/loft53-manhattan-ny/281953429650215077/","Loft53")</f>
        <v>Loft53</v>
      </c>
      <c r="C2258" s="1" t="s">
        <v>171</v>
      </c>
      <c r="D2258" s="1" t="s">
        <v>41</v>
      </c>
      <c r="E2258" s="3">
        <v>1850000</v>
      </c>
      <c r="F2258" s="1">
        <v>1335.74007220216</v>
      </c>
      <c r="G2258" s="1">
        <v>4</v>
      </c>
      <c r="H2258" s="1">
        <v>2</v>
      </c>
      <c r="I2258" s="1">
        <v>2</v>
      </c>
      <c r="J2258" s="1">
        <v>2</v>
      </c>
      <c r="K2258" s="1">
        <v>2</v>
      </c>
      <c r="M2258" s="4">
        <v>1385</v>
      </c>
      <c r="N2258" s="1">
        <v>1978</v>
      </c>
      <c r="O2258" s="1">
        <v>2490</v>
      </c>
      <c r="P2258" s="1">
        <v>512</v>
      </c>
      <c r="Q2258" s="1" t="s">
        <v>353</v>
      </c>
      <c r="S2258" s="1" t="s">
        <v>353</v>
      </c>
      <c r="T2258" s="1" t="s">
        <v>203</v>
      </c>
      <c r="U2258" s="1">
        <v>29</v>
      </c>
      <c r="V2258" s="5">
        <v>44350</v>
      </c>
      <c r="W2258" s="5">
        <v>43880</v>
      </c>
      <c r="X2258" s="1">
        <v>1895000</v>
      </c>
      <c r="Y2258" s="1">
        <v>1895000</v>
      </c>
      <c r="AA2258" s="1">
        <v>1850000</v>
      </c>
      <c r="AB2258" s="1" t="s">
        <v>286</v>
      </c>
      <c r="AC2258" s="5">
        <v>43977</v>
      </c>
      <c r="AF2258" s="1">
        <v>10022</v>
      </c>
      <c r="AI2258" s="1" t="s">
        <v>1763</v>
      </c>
      <c r="AJ2258" s="1">
        <v>2019</v>
      </c>
      <c r="AL2258" s="1">
        <v>6</v>
      </c>
    </row>
    <row r="2259" spans="1:38" x14ac:dyDescent="0.2">
      <c r="A2259" s="2" t="str">
        <f>HYPERLINK("https://www.compass.com/listing/245-east-53rd-street-unit-3-manhattan-ny-10022/241643212156965633/","245 E 53rd St, Unit 3")</f>
        <v>245 E 53rd St, Unit 3</v>
      </c>
      <c r="B2259" s="2" t="str">
        <f t="shared" si="370"/>
        <v>Loft53</v>
      </c>
      <c r="C2259" s="1" t="s">
        <v>171</v>
      </c>
      <c r="D2259" s="1" t="s">
        <v>41</v>
      </c>
      <c r="E2259" s="3">
        <v>1733571</v>
      </c>
      <c r="F2259" s="1">
        <v>1251.6755379061301</v>
      </c>
      <c r="G2259" s="1">
        <v>4</v>
      </c>
      <c r="H2259" s="1">
        <v>2</v>
      </c>
      <c r="I2259" s="1">
        <v>2</v>
      </c>
      <c r="J2259" s="1">
        <v>2</v>
      </c>
      <c r="K2259" s="1">
        <v>2</v>
      </c>
      <c r="M2259" s="4">
        <v>1385</v>
      </c>
      <c r="N2259" s="1">
        <v>476</v>
      </c>
      <c r="O2259" s="1">
        <v>2320</v>
      </c>
      <c r="P2259" s="1">
        <v>1844</v>
      </c>
      <c r="Q2259" s="1" t="s">
        <v>42</v>
      </c>
      <c r="S2259" s="1" t="s">
        <v>42</v>
      </c>
      <c r="T2259" s="1" t="s">
        <v>203</v>
      </c>
      <c r="U2259" s="1">
        <v>135</v>
      </c>
      <c r="V2259" s="5">
        <v>44146</v>
      </c>
      <c r="W2259" s="5">
        <v>43584</v>
      </c>
      <c r="X2259" s="1">
        <v>1995000</v>
      </c>
      <c r="Y2259" s="1">
        <v>1795000</v>
      </c>
      <c r="Z2259" s="5">
        <v>43720</v>
      </c>
      <c r="AA2259" s="1">
        <v>1733570.62</v>
      </c>
      <c r="AB2259" s="1" t="s">
        <v>1764</v>
      </c>
      <c r="AC2259" s="5">
        <v>44008</v>
      </c>
      <c r="AF2259" s="1">
        <v>10022</v>
      </c>
      <c r="AI2259" s="1" t="s">
        <v>1765</v>
      </c>
      <c r="AJ2259" s="1">
        <v>2019</v>
      </c>
      <c r="AL2259" s="1">
        <v>6</v>
      </c>
    </row>
    <row r="2260" spans="1:38" x14ac:dyDescent="0.2">
      <c r="A2260" s="2" t="str">
        <f>HYPERLINK("https://www.compass.com/listing/17-convent-avenue-unit-5d-manhattan-ny-10027/29515680550297601/","17 Convent Ave, Unit 5D")</f>
        <v>17 Convent Ave, Unit 5D</v>
      </c>
      <c r="B2260" s="2" t="str">
        <f t="shared" ref="B2260:B2262" si="371">HYPERLINK("https://www.compass.com/building/17-convent-avenue-manhattan-ny/281979525124947109/","17 Convent Avenue")</f>
        <v>17 Convent Avenue</v>
      </c>
      <c r="C2260" s="1" t="s">
        <v>1766</v>
      </c>
      <c r="D2260" s="1" t="s">
        <v>41</v>
      </c>
      <c r="E2260" s="3">
        <v>860421</v>
      </c>
      <c r="F2260" s="1">
        <v>1158.0363391655401</v>
      </c>
      <c r="G2260" s="1">
        <v>3</v>
      </c>
      <c r="H2260" s="1">
        <v>1</v>
      </c>
      <c r="I2260" s="1">
        <v>1</v>
      </c>
      <c r="J2260" s="1">
        <v>1</v>
      </c>
      <c r="K2260" s="1">
        <v>1</v>
      </c>
      <c r="M2260" s="1">
        <v>743</v>
      </c>
      <c r="N2260" s="1">
        <v>444</v>
      </c>
      <c r="O2260" s="1">
        <v>603</v>
      </c>
      <c r="P2260" s="1">
        <v>159</v>
      </c>
      <c r="Q2260" s="1" t="s">
        <v>42</v>
      </c>
      <c r="S2260" s="1" t="s">
        <v>42</v>
      </c>
      <c r="T2260" s="1" t="s">
        <v>203</v>
      </c>
      <c r="V2260" s="5">
        <v>43694</v>
      </c>
      <c r="W2260" s="5">
        <v>43543</v>
      </c>
      <c r="X2260" s="1">
        <v>875000</v>
      </c>
      <c r="Y2260" s="1">
        <v>875000</v>
      </c>
      <c r="Z2260" s="5">
        <v>43543</v>
      </c>
      <c r="AA2260" s="1">
        <v>860421</v>
      </c>
      <c r="AB2260" s="1" t="s">
        <v>1767</v>
      </c>
      <c r="AC2260" s="5">
        <v>43637</v>
      </c>
      <c r="AF2260" s="1">
        <v>10027</v>
      </c>
      <c r="AI2260" s="1" t="s">
        <v>100</v>
      </c>
      <c r="AJ2260" s="1">
        <v>2019</v>
      </c>
      <c r="AK2260" s="1" t="s">
        <v>87</v>
      </c>
      <c r="AL2260" s="1">
        <v>21</v>
      </c>
    </row>
    <row r="2261" spans="1:38" x14ac:dyDescent="0.2">
      <c r="A2261" s="2" t="str">
        <f>HYPERLINK("https://www.compass.com/listing/17-convent-avenue-unit-4a-manhattan-ny-10027/29515681129085217/","17 Convent Ave, Unit 4A")</f>
        <v>17 Convent Ave, Unit 4A</v>
      </c>
      <c r="B2261" s="2" t="str">
        <f t="shared" si="371"/>
        <v>17 Convent Avenue</v>
      </c>
      <c r="C2261" s="1" t="s">
        <v>1766</v>
      </c>
      <c r="D2261" s="1" t="s">
        <v>41</v>
      </c>
      <c r="E2261" s="3">
        <v>845000</v>
      </c>
      <c r="F2261" s="1">
        <v>1143.4370771312499</v>
      </c>
      <c r="G2261" s="1">
        <v>3</v>
      </c>
      <c r="H2261" s="1">
        <v>1</v>
      </c>
      <c r="I2261" s="1">
        <v>1</v>
      </c>
      <c r="J2261" s="1">
        <v>1</v>
      </c>
      <c r="K2261" s="1">
        <v>1</v>
      </c>
      <c r="M2261" s="1">
        <v>739</v>
      </c>
      <c r="N2261" s="1">
        <v>428</v>
      </c>
      <c r="O2261" s="1">
        <v>581</v>
      </c>
      <c r="P2261" s="1">
        <v>153</v>
      </c>
      <c r="Q2261" s="1" t="s">
        <v>42</v>
      </c>
      <c r="S2261" s="1" t="s">
        <v>42</v>
      </c>
      <c r="T2261" s="1" t="s">
        <v>203</v>
      </c>
      <c r="V2261" s="5">
        <v>43694</v>
      </c>
      <c r="W2261" s="5">
        <v>43543</v>
      </c>
      <c r="X2261" s="1">
        <v>845000</v>
      </c>
      <c r="Y2261" s="1">
        <v>845000</v>
      </c>
      <c r="Z2261" s="5">
        <v>43543</v>
      </c>
      <c r="AA2261" s="1">
        <v>845000</v>
      </c>
      <c r="AB2261" s="1" t="s">
        <v>1768</v>
      </c>
      <c r="AC2261" s="5">
        <v>43636</v>
      </c>
      <c r="AF2261" s="1">
        <v>10027</v>
      </c>
      <c r="AI2261" s="1" t="s">
        <v>100</v>
      </c>
      <c r="AJ2261" s="1">
        <v>2019</v>
      </c>
      <c r="AK2261" s="1" t="s">
        <v>87</v>
      </c>
      <c r="AL2261" s="1">
        <v>21</v>
      </c>
    </row>
    <row r="2262" spans="1:38" x14ac:dyDescent="0.2">
      <c r="A2262" s="2" t="str">
        <f>HYPERLINK("https://www.compass.com/listing/17-convent-avenue-unit-2a-manhattan-ny-10027/29515681733138849/","17 Convent Ave, Unit 2A")</f>
        <v>17 Convent Ave, Unit 2A</v>
      </c>
      <c r="B2262" s="2" t="str">
        <f t="shared" si="371"/>
        <v>17 Convent Avenue</v>
      </c>
      <c r="C2262" s="1" t="s">
        <v>1766</v>
      </c>
      <c r="D2262" s="1" t="s">
        <v>41</v>
      </c>
      <c r="E2262" s="3">
        <v>832928</v>
      </c>
      <c r="F2262" s="1">
        <v>1127.10148849797</v>
      </c>
      <c r="G2262" s="1">
        <v>3</v>
      </c>
      <c r="H2262" s="1">
        <v>1</v>
      </c>
      <c r="I2262" s="1">
        <v>1</v>
      </c>
      <c r="J2262" s="1">
        <v>1</v>
      </c>
      <c r="K2262" s="1">
        <v>1</v>
      </c>
      <c r="M2262" s="1">
        <v>739</v>
      </c>
      <c r="N2262" s="1">
        <v>414</v>
      </c>
      <c r="O2262" s="1">
        <v>560</v>
      </c>
      <c r="P2262" s="1">
        <v>146</v>
      </c>
      <c r="Q2262" s="1" t="s">
        <v>42</v>
      </c>
      <c r="S2262" s="1" t="s">
        <v>42</v>
      </c>
      <c r="T2262" s="1" t="s">
        <v>203</v>
      </c>
      <c r="U2262" s="1">
        <v>126</v>
      </c>
      <c r="V2262" s="5">
        <v>43704</v>
      </c>
      <c r="W2262" s="5">
        <v>43140</v>
      </c>
      <c r="X2262" s="1">
        <v>795000</v>
      </c>
      <c r="Y2262" s="1">
        <v>818000</v>
      </c>
      <c r="Z2262" s="5">
        <v>43266</v>
      </c>
      <c r="AA2262" s="1">
        <v>832928</v>
      </c>
      <c r="AB2262" s="1" t="s">
        <v>1769</v>
      </c>
      <c r="AC2262" s="5">
        <v>43691</v>
      </c>
      <c r="AF2262" s="1">
        <v>10027</v>
      </c>
      <c r="AI2262" s="1" t="s">
        <v>100</v>
      </c>
      <c r="AJ2262" s="1">
        <v>2019</v>
      </c>
      <c r="AK2262" s="1" t="s">
        <v>87</v>
      </c>
      <c r="AL2262" s="1">
        <v>21</v>
      </c>
    </row>
    <row r="2263" spans="1:38" x14ac:dyDescent="0.2">
      <c r="A2263" s="2" t="str">
        <f>HYPERLINK("https://www.compass.com/listing/245-east-53rd-street-unit-4-manhattan-ny-10022/339448754671139473/","245 E 53rd St, Unit 4")</f>
        <v>245 E 53rd St, Unit 4</v>
      </c>
      <c r="B2263" s="2" t="str">
        <f>HYPERLINK("https://www.compass.com/building/loft53-manhattan-ny/281953429650215077/","Loft53")</f>
        <v>Loft53</v>
      </c>
      <c r="C2263" s="1" t="s">
        <v>171</v>
      </c>
      <c r="D2263" s="1" t="s">
        <v>41</v>
      </c>
      <c r="E2263" s="3">
        <v>1764118</v>
      </c>
      <c r="F2263" s="1">
        <v>1273.73149458483</v>
      </c>
      <c r="G2263" s="1">
        <v>4</v>
      </c>
      <c r="H2263" s="1">
        <v>2</v>
      </c>
      <c r="I2263" s="1">
        <v>2</v>
      </c>
      <c r="J2263" s="1">
        <v>2</v>
      </c>
      <c r="K2263" s="1">
        <v>2</v>
      </c>
      <c r="M2263" s="4">
        <v>1385</v>
      </c>
      <c r="N2263" s="1">
        <v>494</v>
      </c>
      <c r="O2263" s="1">
        <v>2405</v>
      </c>
      <c r="P2263" s="1">
        <v>1911</v>
      </c>
      <c r="Q2263" s="1" t="s">
        <v>42</v>
      </c>
      <c r="S2263" s="1" t="s">
        <v>42</v>
      </c>
      <c r="T2263" s="1" t="s">
        <v>203</v>
      </c>
      <c r="U2263" s="1">
        <v>123</v>
      </c>
      <c r="V2263" s="5">
        <v>44105</v>
      </c>
      <c r="W2263" s="5">
        <v>43719</v>
      </c>
      <c r="X2263" s="1">
        <v>1895000</v>
      </c>
      <c r="Y2263" s="1">
        <v>1895000</v>
      </c>
      <c r="Z2263" s="5">
        <v>43845</v>
      </c>
      <c r="AA2263" s="1">
        <v>1764118.12</v>
      </c>
      <c r="AB2263" s="1" t="s">
        <v>1770</v>
      </c>
      <c r="AC2263" s="5">
        <v>44033</v>
      </c>
      <c r="AF2263" s="1">
        <v>10022</v>
      </c>
      <c r="AI2263" s="1" t="s">
        <v>1771</v>
      </c>
      <c r="AJ2263" s="1">
        <v>2019</v>
      </c>
      <c r="AL2263" s="1">
        <v>6</v>
      </c>
    </row>
    <row r="2264" spans="1:38" x14ac:dyDescent="0.2">
      <c r="A2264" s="2" t="str">
        <f>HYPERLINK("https://www.compass.com/listing/17-convent-avenue-unit-2b-manhattan-ny-10027/293450381231409937/","17 Convent Ave, Unit 2B")</f>
        <v>17 Convent Ave, Unit 2B</v>
      </c>
      <c r="B2264" s="2" t="str">
        <f>HYPERLINK("https://www.compass.com/building/17-convent-avenue-manhattan-ny/281979525124947109/","17 Convent Avenue")</f>
        <v>17 Convent Avenue</v>
      </c>
      <c r="C2264" s="1" t="s">
        <v>1766</v>
      </c>
      <c r="D2264" s="1" t="s">
        <v>41</v>
      </c>
      <c r="E2264" s="3">
        <v>1125000</v>
      </c>
      <c r="F2264" s="1">
        <v>1056.3380281690099</v>
      </c>
      <c r="G2264" s="1">
        <v>4</v>
      </c>
      <c r="H2264" s="1">
        <v>2</v>
      </c>
      <c r="I2264" s="1">
        <v>2</v>
      </c>
      <c r="J2264" s="1">
        <v>2</v>
      </c>
      <c r="K2264" s="1">
        <v>2</v>
      </c>
      <c r="M2264" s="4">
        <v>1065</v>
      </c>
      <c r="N2264" s="1">
        <v>586</v>
      </c>
      <c r="O2264" s="1">
        <v>1466</v>
      </c>
      <c r="P2264" s="1">
        <v>880</v>
      </c>
      <c r="Q2264" s="1" t="s">
        <v>42</v>
      </c>
      <c r="S2264" s="1" t="s">
        <v>42</v>
      </c>
      <c r="T2264" s="1" t="s">
        <v>203</v>
      </c>
      <c r="U2264" s="1">
        <v>259</v>
      </c>
      <c r="V2264" s="5">
        <v>43872</v>
      </c>
      <c r="W2264" s="5">
        <v>43543</v>
      </c>
      <c r="X2264" s="1">
        <v>1218000</v>
      </c>
      <c r="Y2264" s="1">
        <v>1155000</v>
      </c>
      <c r="Z2264" s="5">
        <v>43802</v>
      </c>
      <c r="AA2264" s="1">
        <v>1125000</v>
      </c>
      <c r="AB2264" s="1" t="s">
        <v>1772</v>
      </c>
      <c r="AC2264" s="5">
        <v>43859</v>
      </c>
      <c r="AF2264" s="1">
        <v>10027</v>
      </c>
      <c r="AI2264" s="1" t="s">
        <v>100</v>
      </c>
      <c r="AJ2264" s="1">
        <v>2019</v>
      </c>
      <c r="AK2264" s="1" t="s">
        <v>162</v>
      </c>
      <c r="AL2264" s="1">
        <v>21</v>
      </c>
    </row>
    <row r="2265" spans="1:38" x14ac:dyDescent="0.2">
      <c r="A2265" s="2" t="str">
        <f>HYPERLINK("https://www.compass.com/listing/40-pinehurst-avenue-unit-5b-manhattan-ny-10033/365240672102753377/","40 Pinehurst Ave, Unit 5B")</f>
        <v>40 Pinehurst Ave, Unit 5B</v>
      </c>
      <c r="B2265" s="2" t="str">
        <f t="shared" ref="B2265:B2272" si="372">HYPERLINK("https://www.compass.com/building/the-ammann-manhattan-ny/282011498950165109/","The Ammann")</f>
        <v>The Ammann</v>
      </c>
      <c r="C2265" s="1" t="s">
        <v>1586</v>
      </c>
      <c r="D2265" s="1" t="s">
        <v>41</v>
      </c>
      <c r="E2265" s="3">
        <v>692410</v>
      </c>
      <c r="F2265" s="1">
        <v>1066.8875192604</v>
      </c>
      <c r="G2265" s="1">
        <v>3</v>
      </c>
      <c r="H2265" s="1">
        <v>1</v>
      </c>
      <c r="I2265" s="1">
        <v>1</v>
      </c>
      <c r="J2265" s="1">
        <v>1</v>
      </c>
      <c r="K2265" s="1">
        <v>1</v>
      </c>
      <c r="M2265" s="1">
        <v>649</v>
      </c>
      <c r="N2265" s="1">
        <v>302.27999999999997</v>
      </c>
      <c r="O2265" s="1">
        <v>469.54999999999899</v>
      </c>
      <c r="P2265" s="1">
        <v>167.25</v>
      </c>
      <c r="Q2265" s="1" t="s">
        <v>42</v>
      </c>
      <c r="S2265" s="1" t="s">
        <v>42</v>
      </c>
      <c r="T2265" s="1" t="s">
        <v>203</v>
      </c>
      <c r="V2265" s="5">
        <v>43826</v>
      </c>
      <c r="W2265" s="5">
        <v>43755</v>
      </c>
      <c r="X2265" s="1">
        <v>688000</v>
      </c>
      <c r="Y2265" s="1">
        <v>688000</v>
      </c>
      <c r="Z2265" s="5">
        <v>43755</v>
      </c>
      <c r="AA2265" s="1">
        <v>692410</v>
      </c>
      <c r="AB2265" s="1" t="s">
        <v>1773</v>
      </c>
      <c r="AC2265" s="5">
        <v>43816</v>
      </c>
      <c r="AF2265" s="1">
        <v>10033</v>
      </c>
      <c r="AI2265" s="1" t="s">
        <v>97</v>
      </c>
      <c r="AJ2265" s="1">
        <v>2018</v>
      </c>
      <c r="AL2265" s="1">
        <v>24</v>
      </c>
    </row>
    <row r="2266" spans="1:38" x14ac:dyDescent="0.2">
      <c r="A2266" s="2" t="str">
        <f>HYPERLINK("https://www.compass.com/listing/40-pinehurst-avenue-unit-3b-manhattan-ny-10033/34938479800602145/","40 Pinehurst Ave, Unit 3B")</f>
        <v>40 Pinehurst Ave, Unit 3B</v>
      </c>
      <c r="B2266" s="2" t="str">
        <f t="shared" si="372"/>
        <v>The Ammann</v>
      </c>
      <c r="C2266" s="1" t="s">
        <v>1586</v>
      </c>
      <c r="D2266" s="1" t="s">
        <v>41</v>
      </c>
      <c r="E2266" s="3">
        <v>649644</v>
      </c>
      <c r="F2266" s="1">
        <v>1000.99229583975</v>
      </c>
      <c r="G2266" s="1">
        <v>3</v>
      </c>
      <c r="H2266" s="1">
        <v>1</v>
      </c>
      <c r="I2266" s="1">
        <v>1</v>
      </c>
      <c r="J2266" s="1">
        <v>1</v>
      </c>
      <c r="K2266" s="1">
        <v>1</v>
      </c>
      <c r="M2266" s="1">
        <v>649</v>
      </c>
      <c r="N2266" s="1">
        <v>291.19</v>
      </c>
      <c r="O2266" s="1">
        <v>862</v>
      </c>
      <c r="P2266" s="1">
        <v>570.83333333333303</v>
      </c>
      <c r="Q2266" s="1" t="s">
        <v>42</v>
      </c>
      <c r="S2266" s="1" t="s">
        <v>42</v>
      </c>
      <c r="T2266" s="1" t="s">
        <v>203</v>
      </c>
      <c r="U2266" s="1">
        <v>27</v>
      </c>
      <c r="V2266" s="5">
        <v>43641</v>
      </c>
      <c r="W2266" s="5">
        <v>43300</v>
      </c>
      <c r="X2266" s="1">
        <v>638000</v>
      </c>
      <c r="Y2266" s="1">
        <v>638000</v>
      </c>
      <c r="Z2266" s="5">
        <v>43327</v>
      </c>
      <c r="AA2266" s="1">
        <v>649644</v>
      </c>
      <c r="AB2266" s="1" t="s">
        <v>1774</v>
      </c>
      <c r="AC2266" s="5">
        <v>43585</v>
      </c>
      <c r="AF2266" s="1">
        <v>10033</v>
      </c>
      <c r="AI2266" s="1" t="s">
        <v>123</v>
      </c>
      <c r="AJ2266" s="1">
        <v>2018</v>
      </c>
      <c r="AL2266" s="1">
        <v>24</v>
      </c>
    </row>
    <row r="2267" spans="1:38" x14ac:dyDescent="0.2">
      <c r="A2267" s="2" t="str">
        <f>HYPERLINK("https://www.compass.com/listing/40-pinehurst-avenue-unit-3c-manhattan-ny-10033/54386756857946961/","40 Pinehurst Ave, Unit 3C")</f>
        <v>40 Pinehurst Ave, Unit 3C</v>
      </c>
      <c r="B2267" s="2" t="str">
        <f t="shared" si="372"/>
        <v>The Ammann</v>
      </c>
      <c r="C2267" s="1" t="s">
        <v>1586</v>
      </c>
      <c r="D2267" s="1" t="s">
        <v>41</v>
      </c>
      <c r="E2267" s="3">
        <v>649644</v>
      </c>
      <c r="F2267" s="1">
        <v>1000.99229583975</v>
      </c>
      <c r="G2267" s="1">
        <v>3</v>
      </c>
      <c r="H2267" s="1">
        <v>1</v>
      </c>
      <c r="I2267" s="1">
        <v>1</v>
      </c>
      <c r="J2267" s="1">
        <v>1</v>
      </c>
      <c r="K2267" s="1">
        <v>1</v>
      </c>
      <c r="M2267" s="1">
        <v>649</v>
      </c>
      <c r="N2267" s="1">
        <v>291.19</v>
      </c>
      <c r="O2267" s="1">
        <v>862</v>
      </c>
      <c r="P2267" s="1">
        <v>570.83333333333303</v>
      </c>
      <c r="Q2267" s="1" t="s">
        <v>42</v>
      </c>
      <c r="S2267" s="1" t="s">
        <v>42</v>
      </c>
      <c r="T2267" s="1" t="s">
        <v>203</v>
      </c>
      <c r="V2267" s="5">
        <v>43644</v>
      </c>
      <c r="W2267" s="5">
        <v>43327</v>
      </c>
      <c r="X2267" s="1">
        <v>638000</v>
      </c>
      <c r="Y2267" s="1">
        <v>638000</v>
      </c>
      <c r="Z2267" s="5">
        <v>43327</v>
      </c>
      <c r="AA2267" s="1">
        <v>649644</v>
      </c>
      <c r="AB2267" s="1" t="s">
        <v>1775</v>
      </c>
      <c r="AC2267" s="5">
        <v>43589</v>
      </c>
      <c r="AF2267" s="1">
        <v>10033</v>
      </c>
      <c r="AI2267" s="1" t="s">
        <v>123</v>
      </c>
      <c r="AJ2267" s="1">
        <v>2018</v>
      </c>
      <c r="AL2267" s="1">
        <v>24</v>
      </c>
    </row>
    <row r="2268" spans="1:38" x14ac:dyDescent="0.2">
      <c r="A2268" s="2" t="str">
        <f>HYPERLINK("https://www.compass.com/listing/40-pinehurst-avenue-unit-2a-manhattan-ny-10033/368413032767517745/","40 Pinehurst Ave, Unit 2A")</f>
        <v>40 Pinehurst Ave, Unit 2A</v>
      </c>
      <c r="B2268" s="2" t="str">
        <f t="shared" si="372"/>
        <v>The Ammann</v>
      </c>
      <c r="C2268" s="1" t="s">
        <v>1586</v>
      </c>
      <c r="D2268" s="1" t="s">
        <v>41</v>
      </c>
      <c r="E2268" s="3">
        <v>880000</v>
      </c>
      <c r="F2268" s="1">
        <v>1022.06736353077</v>
      </c>
      <c r="G2268" s="1">
        <v>5</v>
      </c>
      <c r="H2268" s="1">
        <v>2</v>
      </c>
      <c r="I2268" s="1">
        <v>2</v>
      </c>
      <c r="J2268" s="1">
        <v>1.5</v>
      </c>
      <c r="K2268" s="1">
        <v>1</v>
      </c>
      <c r="L2268" s="1">
        <v>1</v>
      </c>
      <c r="M2268" s="1">
        <v>861</v>
      </c>
      <c r="N2268" s="1">
        <v>455</v>
      </c>
      <c r="O2268" s="1">
        <v>890</v>
      </c>
      <c r="P2268" s="1">
        <v>435</v>
      </c>
      <c r="Q2268" s="1" t="s">
        <v>42</v>
      </c>
      <c r="S2268" s="1" t="s">
        <v>42</v>
      </c>
      <c r="T2268" s="1" t="s">
        <v>203</v>
      </c>
      <c r="U2268" s="1">
        <v>166</v>
      </c>
      <c r="V2268" s="5">
        <v>44385</v>
      </c>
      <c r="W2268" s="5">
        <v>44062</v>
      </c>
      <c r="Y2268" s="1">
        <v>886000</v>
      </c>
      <c r="Z2268" s="5">
        <v>44344</v>
      </c>
      <c r="AA2268" s="1">
        <v>880000</v>
      </c>
      <c r="AB2268" s="1" t="s">
        <v>1776</v>
      </c>
      <c r="AC2268" s="5">
        <v>44369</v>
      </c>
      <c r="AF2268" s="1">
        <v>10033</v>
      </c>
      <c r="AI2268" s="1" t="s">
        <v>568</v>
      </c>
      <c r="AJ2268" s="1">
        <v>2018</v>
      </c>
      <c r="AL2268" s="1">
        <v>24</v>
      </c>
    </row>
    <row r="2269" spans="1:38" x14ac:dyDescent="0.2">
      <c r="A2269" s="2" t="str">
        <f>HYPERLINK("https://www.compass.com/listing/40-pinehurst-avenue-unit-4d-manhattan-ny-10033/147022301517423857/","40 Pinehurst Ave, Unit 4D")</f>
        <v>40 Pinehurst Ave, Unit 4D</v>
      </c>
      <c r="B2269" s="2" t="str">
        <f t="shared" si="372"/>
        <v>The Ammann</v>
      </c>
      <c r="C2269" s="1" t="s">
        <v>1586</v>
      </c>
      <c r="D2269" s="1" t="s">
        <v>41</v>
      </c>
      <c r="E2269" s="3">
        <v>862967</v>
      </c>
      <c r="F2269" s="1">
        <v>1001.12167053364</v>
      </c>
      <c r="G2269" s="1">
        <v>4</v>
      </c>
      <c r="H2269" s="1">
        <v>2</v>
      </c>
      <c r="I2269" s="1">
        <v>2</v>
      </c>
      <c r="J2269" s="1">
        <v>1.5</v>
      </c>
      <c r="K2269" s="1">
        <v>1</v>
      </c>
      <c r="L2269" s="1">
        <v>1</v>
      </c>
      <c r="M2269" s="1">
        <v>862</v>
      </c>
      <c r="N2269" s="1">
        <v>384.9</v>
      </c>
      <c r="O2269" s="1">
        <v>597.88</v>
      </c>
      <c r="P2269" s="1">
        <v>213</v>
      </c>
      <c r="Q2269" s="1" t="s">
        <v>42</v>
      </c>
      <c r="S2269" s="1" t="s">
        <v>42</v>
      </c>
      <c r="T2269" s="1" t="s">
        <v>203</v>
      </c>
      <c r="V2269" s="5">
        <v>43858</v>
      </c>
      <c r="W2269" s="5">
        <v>43454</v>
      </c>
      <c r="X2269" s="1">
        <v>858000</v>
      </c>
      <c r="Y2269" s="1">
        <v>858000</v>
      </c>
      <c r="Z2269" s="5">
        <v>43728</v>
      </c>
      <c r="AA2269" s="1">
        <v>862966.88</v>
      </c>
      <c r="AB2269" s="1" t="s">
        <v>1777</v>
      </c>
      <c r="AC2269" s="5">
        <v>43845</v>
      </c>
      <c r="AF2269" s="1">
        <v>10033</v>
      </c>
      <c r="AI2269" s="1" t="s">
        <v>199</v>
      </c>
      <c r="AJ2269" s="1">
        <v>2018</v>
      </c>
      <c r="AK2269" s="1" t="s">
        <v>880</v>
      </c>
      <c r="AL2269" s="1">
        <v>24</v>
      </c>
    </row>
    <row r="2270" spans="1:38" x14ac:dyDescent="0.2">
      <c r="A2270" s="2" t="str">
        <f>HYPERLINK("https://www.compass.com/listing/40-pinehurst-avenue-unit-2d-manhattan-ny-10033/241331018768902001/","40 Pinehurst Ave, Unit 2D")</f>
        <v>40 Pinehurst Ave, Unit 2D</v>
      </c>
      <c r="B2270" s="2" t="str">
        <f t="shared" si="372"/>
        <v>The Ammann</v>
      </c>
      <c r="C2270" s="1" t="s">
        <v>1586</v>
      </c>
      <c r="D2270" s="1" t="s">
        <v>41</v>
      </c>
      <c r="E2270" s="3">
        <v>765000</v>
      </c>
      <c r="F2270" s="1">
        <v>887.47099767981399</v>
      </c>
      <c r="G2270" s="1">
        <v>4</v>
      </c>
      <c r="H2270" s="1">
        <v>2</v>
      </c>
      <c r="I2270" s="1">
        <v>2</v>
      </c>
      <c r="J2270" s="1">
        <v>1.5</v>
      </c>
      <c r="K2270" s="1">
        <v>1</v>
      </c>
      <c r="L2270" s="1">
        <v>1</v>
      </c>
      <c r="M2270" s="1">
        <v>862</v>
      </c>
      <c r="N2270" s="1">
        <v>372</v>
      </c>
      <c r="O2270" s="1">
        <v>577.75</v>
      </c>
      <c r="P2270" s="1">
        <v>205.75</v>
      </c>
      <c r="Q2270" s="1" t="s">
        <v>42</v>
      </c>
      <c r="S2270" s="1" t="s">
        <v>42</v>
      </c>
      <c r="T2270" s="1" t="s">
        <v>203</v>
      </c>
      <c r="U2270" s="1">
        <v>271</v>
      </c>
      <c r="V2270" s="5">
        <v>43642</v>
      </c>
      <c r="W2270" s="5">
        <v>43370</v>
      </c>
      <c r="X2270" s="1">
        <v>749000</v>
      </c>
      <c r="Y2270" s="1">
        <v>749000</v>
      </c>
      <c r="AA2270" s="1">
        <v>765000</v>
      </c>
      <c r="AB2270" s="1" t="s">
        <v>1778</v>
      </c>
      <c r="AC2270" s="5">
        <v>43678</v>
      </c>
      <c r="AF2270" s="1">
        <v>10033</v>
      </c>
      <c r="AI2270" s="1" t="s">
        <v>1534</v>
      </c>
      <c r="AJ2270" s="1">
        <v>2018</v>
      </c>
      <c r="AL2270" s="1">
        <v>24</v>
      </c>
    </row>
    <row r="2271" spans="1:38" x14ac:dyDescent="0.2">
      <c r="A2271" s="2" t="str">
        <f>HYPERLINK("https://www.compass.com/listing/40-pinehurst-avenue-unit-6d-manhattan-ny-10033/321052365125986113/","40 Pinehurst Ave, Unit 6D")</f>
        <v>40 Pinehurst Ave, Unit 6D</v>
      </c>
      <c r="B2271" s="2" t="str">
        <f t="shared" si="372"/>
        <v>The Ammann</v>
      </c>
      <c r="C2271" s="1" t="s">
        <v>1586</v>
      </c>
      <c r="D2271" s="1" t="s">
        <v>41</v>
      </c>
      <c r="E2271" s="3">
        <v>908000</v>
      </c>
      <c r="F2271" s="1">
        <v>1053.36426914153</v>
      </c>
      <c r="G2271" s="1">
        <v>4</v>
      </c>
      <c r="H2271" s="1">
        <v>2</v>
      </c>
      <c r="I2271" s="1">
        <v>2</v>
      </c>
      <c r="J2271" s="1">
        <v>1.5</v>
      </c>
      <c r="K2271" s="1">
        <v>1</v>
      </c>
      <c r="L2271" s="1">
        <v>1</v>
      </c>
      <c r="M2271" s="1">
        <v>862</v>
      </c>
      <c r="N2271" s="1">
        <v>394.97</v>
      </c>
      <c r="O2271" s="1">
        <v>613.54</v>
      </c>
      <c r="P2271" s="1">
        <v>218.583333333333</v>
      </c>
      <c r="Q2271" s="1" t="s">
        <v>42</v>
      </c>
      <c r="S2271" s="1" t="s">
        <v>42</v>
      </c>
      <c r="T2271" s="1" t="s">
        <v>203</v>
      </c>
      <c r="V2271" s="5">
        <v>43756</v>
      </c>
      <c r="W2271" s="5">
        <v>43693</v>
      </c>
      <c r="X2271" s="1">
        <v>908000</v>
      </c>
      <c r="Y2271" s="1">
        <v>908000</v>
      </c>
      <c r="Z2271" s="5">
        <v>43693</v>
      </c>
      <c r="AA2271" s="1">
        <v>908000</v>
      </c>
      <c r="AB2271" s="1" t="s">
        <v>1779</v>
      </c>
      <c r="AC2271" s="5">
        <v>43753</v>
      </c>
      <c r="AF2271" s="1">
        <v>10033</v>
      </c>
      <c r="AI2271" s="1" t="s">
        <v>97</v>
      </c>
      <c r="AJ2271" s="1">
        <v>2018</v>
      </c>
      <c r="AL2271" s="1">
        <v>24</v>
      </c>
    </row>
    <row r="2272" spans="1:38" x14ac:dyDescent="0.2">
      <c r="A2272" s="2" t="str">
        <f>HYPERLINK("https://www.compass.com/listing/40-pinehurst-avenue-unit-2d-manhattan-ny-10033/803307292246069281/","40 Pinehurst Ave, Unit 2D")</f>
        <v>40 Pinehurst Ave, Unit 2D</v>
      </c>
      <c r="B2272" s="2" t="str">
        <f t="shared" si="372"/>
        <v>The Ammann</v>
      </c>
      <c r="C2272" s="1" t="s">
        <v>1586</v>
      </c>
      <c r="D2272" s="1" t="s">
        <v>41</v>
      </c>
      <c r="E2272" s="3">
        <v>765000</v>
      </c>
      <c r="F2272" s="1">
        <v>887.47099767981399</v>
      </c>
      <c r="G2272" s="1">
        <v>4</v>
      </c>
      <c r="H2272" s="1">
        <v>2</v>
      </c>
      <c r="I2272" s="1">
        <v>2</v>
      </c>
      <c r="J2272" s="1">
        <v>1.5</v>
      </c>
      <c r="K2272" s="1">
        <v>1</v>
      </c>
      <c r="L2272" s="1">
        <v>1</v>
      </c>
      <c r="M2272" s="1">
        <v>862</v>
      </c>
      <c r="N2272" s="1">
        <v>371.8</v>
      </c>
      <c r="O2272" s="1">
        <v>1100.6099999999999</v>
      </c>
      <c r="P2272" s="1">
        <v>728.83333333333303</v>
      </c>
      <c r="Q2272" s="1" t="s">
        <v>42</v>
      </c>
      <c r="S2272" s="1" t="s">
        <v>42</v>
      </c>
      <c r="T2272" s="1" t="s">
        <v>203</v>
      </c>
      <c r="U2272" s="1">
        <v>214</v>
      </c>
      <c r="V2272" s="5">
        <v>43615</v>
      </c>
      <c r="W2272" s="5">
        <v>43370</v>
      </c>
      <c r="X2272" s="1">
        <v>789000</v>
      </c>
      <c r="Y2272" s="1">
        <v>789000</v>
      </c>
      <c r="AA2272" s="1">
        <v>765000</v>
      </c>
      <c r="AB2272" s="1" t="s">
        <v>1778</v>
      </c>
      <c r="AC2272" s="5">
        <v>43678</v>
      </c>
      <c r="AF2272" s="1">
        <v>10033</v>
      </c>
      <c r="AI2272" s="1" t="s">
        <v>123</v>
      </c>
      <c r="AJ2272" s="1">
        <v>2018</v>
      </c>
      <c r="AL2272" s="1">
        <v>24</v>
      </c>
    </row>
    <row r="2273" spans="1:38" x14ac:dyDescent="0.2">
      <c r="A2273" s="2" t="str">
        <f>HYPERLINK("https://www.compass.com/listing/17-convent-avenue-unit-gardenb-manhattan-ny-10027/29515682655885777/","17 Convent Ave, Unit GARDENB")</f>
        <v>17 Convent Ave, Unit GARDENB</v>
      </c>
      <c r="B2273" s="2" t="str">
        <f t="shared" ref="B2273:B2275" si="373">HYPERLINK("https://www.compass.com/building/17-convent-avenue-manhattan-ny/281979525124947109/","17 Convent Avenue")</f>
        <v>17 Convent Avenue</v>
      </c>
      <c r="C2273" s="1" t="s">
        <v>1766</v>
      </c>
      <c r="D2273" s="1" t="s">
        <v>41</v>
      </c>
      <c r="E2273" s="3">
        <v>1476463</v>
      </c>
      <c r="F2273" s="1">
        <v>972.637022397892</v>
      </c>
      <c r="G2273" s="1">
        <v>4</v>
      </c>
      <c r="H2273" s="1">
        <v>2</v>
      </c>
      <c r="I2273" s="1">
        <v>3</v>
      </c>
      <c r="J2273" s="1">
        <v>2</v>
      </c>
      <c r="K2273" s="1">
        <v>2</v>
      </c>
      <c r="M2273" s="4">
        <v>1518</v>
      </c>
      <c r="N2273" s="1">
        <v>749</v>
      </c>
      <c r="O2273" s="1">
        <v>1053</v>
      </c>
      <c r="P2273" s="1">
        <v>304</v>
      </c>
      <c r="Q2273" s="1" t="s">
        <v>42</v>
      </c>
      <c r="S2273" s="1" t="s">
        <v>42</v>
      </c>
      <c r="T2273" s="1" t="s">
        <v>203</v>
      </c>
      <c r="U2273" s="1">
        <v>152</v>
      </c>
      <c r="V2273" s="5">
        <v>43694</v>
      </c>
      <c r="W2273" s="5">
        <v>43140</v>
      </c>
      <c r="X2273" s="1">
        <v>1450000</v>
      </c>
      <c r="Y2273" s="1">
        <v>1450000</v>
      </c>
      <c r="Z2273" s="5">
        <v>43292</v>
      </c>
      <c r="AA2273" s="1">
        <v>1476463</v>
      </c>
      <c r="AB2273" s="1" t="s">
        <v>1780</v>
      </c>
      <c r="AC2273" s="5">
        <v>43629</v>
      </c>
      <c r="AF2273" s="1">
        <v>10027</v>
      </c>
      <c r="AI2273" s="1" t="s">
        <v>103</v>
      </c>
      <c r="AJ2273" s="1">
        <v>2019</v>
      </c>
      <c r="AK2273" s="1" t="s">
        <v>162</v>
      </c>
      <c r="AL2273" s="1">
        <v>21</v>
      </c>
    </row>
    <row r="2274" spans="1:38" x14ac:dyDescent="0.2">
      <c r="A2274" s="2" t="str">
        <f>HYPERLINK("https://www.compass.com/listing/17-convent-avenue-unit-5c-manhattan-ny-10027/29515683595409905/","17 Convent Ave, Unit 5C")</f>
        <v>17 Convent Ave, Unit 5C</v>
      </c>
      <c r="B2274" s="2" t="str">
        <f t="shared" si="373"/>
        <v>17 Convent Avenue</v>
      </c>
      <c r="C2274" s="1" t="s">
        <v>1766</v>
      </c>
      <c r="D2274" s="1" t="s">
        <v>41</v>
      </c>
      <c r="E2274" s="3">
        <v>1195000</v>
      </c>
      <c r="F2274" s="1">
        <v>1137.0123691722099</v>
      </c>
      <c r="G2274" s="1">
        <v>4</v>
      </c>
      <c r="H2274" s="1">
        <v>2</v>
      </c>
      <c r="I2274" s="1">
        <v>2</v>
      </c>
      <c r="J2274" s="1">
        <v>2</v>
      </c>
      <c r="K2274" s="1">
        <v>2</v>
      </c>
      <c r="M2274" s="4">
        <v>1051</v>
      </c>
      <c r="N2274" s="1">
        <v>639</v>
      </c>
      <c r="O2274" s="1">
        <v>883</v>
      </c>
      <c r="P2274" s="1">
        <v>244</v>
      </c>
      <c r="Q2274" s="1" t="s">
        <v>42</v>
      </c>
      <c r="S2274" s="1" t="s">
        <v>42</v>
      </c>
      <c r="T2274" s="1" t="s">
        <v>203</v>
      </c>
      <c r="V2274" s="5">
        <v>43694</v>
      </c>
      <c r="W2274" s="5">
        <v>43543</v>
      </c>
      <c r="X2274" s="1">
        <v>1275000</v>
      </c>
      <c r="Y2274" s="1">
        <v>1275000</v>
      </c>
      <c r="Z2274" s="5">
        <v>43543</v>
      </c>
      <c r="AA2274" s="1">
        <v>1195000</v>
      </c>
      <c r="AB2274" s="1" t="s">
        <v>1781</v>
      </c>
      <c r="AC2274" s="5">
        <v>43636</v>
      </c>
      <c r="AF2274" s="1">
        <v>10027</v>
      </c>
      <c r="AI2274" s="1" t="s">
        <v>49</v>
      </c>
      <c r="AJ2274" s="1">
        <v>2019</v>
      </c>
      <c r="AK2274" s="1" t="s">
        <v>162</v>
      </c>
      <c r="AL2274" s="1">
        <v>21</v>
      </c>
    </row>
    <row r="2275" spans="1:38" x14ac:dyDescent="0.2">
      <c r="A2275" s="2" t="str">
        <f>HYPERLINK("https://www.compass.com/listing/17-convent-avenue-unit-3b-manhattan-ny-10027/29515682999744865/","17 Convent Ave, Unit 3B")</f>
        <v>17 Convent Ave, Unit 3B</v>
      </c>
      <c r="B2275" s="2" t="str">
        <f t="shared" si="373"/>
        <v>17 Convent Avenue</v>
      </c>
      <c r="C2275" s="1" t="s">
        <v>160</v>
      </c>
      <c r="D2275" s="1" t="s">
        <v>41</v>
      </c>
      <c r="E2275" s="3">
        <v>1151174</v>
      </c>
      <c r="F2275" s="1">
        <v>1080.91431924882</v>
      </c>
      <c r="G2275" s="1">
        <v>4</v>
      </c>
      <c r="H2275" s="1">
        <v>2</v>
      </c>
      <c r="I2275" s="1">
        <v>2</v>
      </c>
      <c r="J2275" s="1">
        <v>2</v>
      </c>
      <c r="K2275" s="1">
        <v>2</v>
      </c>
      <c r="M2275" s="4">
        <v>1065</v>
      </c>
      <c r="N2275" s="1">
        <v>596</v>
      </c>
      <c r="O2275" s="1">
        <v>813</v>
      </c>
      <c r="P2275" s="1">
        <v>217</v>
      </c>
      <c r="Q2275" s="1" t="s">
        <v>42</v>
      </c>
      <c r="S2275" s="1" t="s">
        <v>42</v>
      </c>
      <c r="T2275" s="1" t="s">
        <v>203</v>
      </c>
      <c r="U2275" s="1">
        <v>2</v>
      </c>
      <c r="V2275" s="5">
        <v>43677</v>
      </c>
      <c r="W2275" s="5">
        <v>43145</v>
      </c>
      <c r="X2275" s="1">
        <v>1220000</v>
      </c>
      <c r="Y2275" s="1">
        <v>1238000</v>
      </c>
      <c r="Z2275" s="5">
        <v>43148</v>
      </c>
      <c r="AA2275" s="1">
        <v>1151173.75</v>
      </c>
      <c r="AB2275" s="1" t="s">
        <v>1782</v>
      </c>
      <c r="AC2275" s="5">
        <v>43649</v>
      </c>
      <c r="AF2275" s="1">
        <v>10027</v>
      </c>
      <c r="AI2275" s="1" t="s">
        <v>103</v>
      </c>
      <c r="AJ2275" s="1">
        <v>2019</v>
      </c>
      <c r="AK2275" s="1" t="s">
        <v>162</v>
      </c>
      <c r="AL2275" s="1">
        <v>21</v>
      </c>
    </row>
    <row r="2276" spans="1:38" x14ac:dyDescent="0.2">
      <c r="A2276" s="2" t="str">
        <f>HYPERLINK("https://www.compass.com/listing/40-pinehurst-avenue-unit-2c-manhattan-ny-10033/34938481201510513/","40 Pinehurst Ave, Unit 2C")</f>
        <v>40 Pinehurst Ave, Unit 2C</v>
      </c>
      <c r="B2276" s="2" t="str">
        <f t="shared" ref="B2276:B2279" si="374">HYPERLINK("https://www.compass.com/building/the-ammann-manhattan-ny/282011498950165109/","The Ammann")</f>
        <v>The Ammann</v>
      </c>
      <c r="C2276" s="1" t="s">
        <v>1586</v>
      </c>
      <c r="D2276" s="1" t="s">
        <v>41</v>
      </c>
      <c r="E2276" s="3">
        <v>600000</v>
      </c>
      <c r="F2276" s="1">
        <v>924.49922958397497</v>
      </c>
      <c r="G2276" s="1">
        <v>3</v>
      </c>
      <c r="H2276" s="1">
        <v>1</v>
      </c>
      <c r="I2276" s="1">
        <v>1</v>
      </c>
      <c r="J2276" s="1">
        <v>1</v>
      </c>
      <c r="K2276" s="1">
        <v>1</v>
      </c>
      <c r="M2276" s="1">
        <v>649</v>
      </c>
      <c r="N2276" s="1">
        <v>279.10000000000002</v>
      </c>
      <c r="O2276" s="1">
        <v>826.2</v>
      </c>
      <c r="P2276" s="1">
        <v>547.08333333333303</v>
      </c>
      <c r="Q2276" s="1" t="s">
        <v>42</v>
      </c>
      <c r="S2276" s="1" t="s">
        <v>42</v>
      </c>
      <c r="T2276" s="1" t="s">
        <v>203</v>
      </c>
      <c r="U2276" s="1">
        <v>205</v>
      </c>
      <c r="V2276" s="5">
        <v>43638</v>
      </c>
      <c r="W2276" s="5">
        <v>43300</v>
      </c>
      <c r="X2276" s="1">
        <v>600000</v>
      </c>
      <c r="Y2276" s="1">
        <v>600000</v>
      </c>
      <c r="Z2276" s="5">
        <v>43505</v>
      </c>
      <c r="AA2276" s="1">
        <v>600000</v>
      </c>
      <c r="AB2276" s="1" t="s">
        <v>1783</v>
      </c>
      <c r="AC2276" s="5">
        <v>43592</v>
      </c>
      <c r="AF2276" s="1">
        <v>10033</v>
      </c>
      <c r="AI2276" s="1" t="s">
        <v>123</v>
      </c>
      <c r="AJ2276" s="1">
        <v>2018</v>
      </c>
      <c r="AL2276" s="1">
        <v>24</v>
      </c>
    </row>
    <row r="2277" spans="1:38" x14ac:dyDescent="0.2">
      <c r="A2277" s="2" t="str">
        <f>HYPERLINK("https://www.compass.com/listing/40-pinehurst-avenue-unit-2b-manhattan-ny-10033/803331242619632169/","40 Pinehurst Ave, Unit 2B")</f>
        <v>40 Pinehurst Ave, Unit 2B</v>
      </c>
      <c r="B2277" s="2" t="str">
        <f t="shared" si="374"/>
        <v>The Ammann</v>
      </c>
      <c r="C2277" s="1" t="s">
        <v>1586</v>
      </c>
      <c r="D2277" s="1" t="s">
        <v>41</v>
      </c>
      <c r="E2277" s="3">
        <v>619096</v>
      </c>
      <c r="F2277" s="1">
        <v>953.92295839753399</v>
      </c>
      <c r="G2277" s="1">
        <v>3</v>
      </c>
      <c r="H2277" s="1">
        <v>1</v>
      </c>
      <c r="I2277" s="1">
        <v>1</v>
      </c>
      <c r="J2277" s="1">
        <v>1</v>
      </c>
      <c r="K2277" s="1">
        <v>1</v>
      </c>
      <c r="M2277" s="1">
        <v>649</v>
      </c>
      <c r="N2277" s="1">
        <v>279.10000000000002</v>
      </c>
      <c r="O2277" s="1">
        <v>433.54</v>
      </c>
      <c r="P2277" s="1">
        <v>154.416666666666</v>
      </c>
      <c r="Q2277" s="1" t="s">
        <v>42</v>
      </c>
      <c r="S2277" s="1" t="s">
        <v>42</v>
      </c>
      <c r="T2277" s="1" t="s">
        <v>203</v>
      </c>
      <c r="U2277" s="1">
        <v>377</v>
      </c>
      <c r="V2277" s="5">
        <v>43703</v>
      </c>
      <c r="W2277" s="5">
        <v>43326</v>
      </c>
      <c r="X2277" s="1">
        <v>608000</v>
      </c>
      <c r="Y2277" s="1">
        <v>598000</v>
      </c>
      <c r="AA2277" s="1">
        <v>619096</v>
      </c>
      <c r="AB2277" s="1" t="s">
        <v>1533</v>
      </c>
      <c r="AC2277" s="5">
        <v>43791</v>
      </c>
      <c r="AF2277" s="1">
        <v>10033</v>
      </c>
      <c r="AI2277" s="1" t="s">
        <v>123</v>
      </c>
      <c r="AJ2277" s="1">
        <v>2018</v>
      </c>
      <c r="AL2277" s="1">
        <v>24</v>
      </c>
    </row>
    <row r="2278" spans="1:38" x14ac:dyDescent="0.2">
      <c r="A2278" s="2" t="str">
        <f>HYPERLINK("https://www.compass.com/listing/40-pinehurst-avenue-unit-ph8a-manhattan-ny-10033/142628423632717297/","40 Pinehurst Ave, Unit PH8A")</f>
        <v>40 Pinehurst Ave, Unit PH8A</v>
      </c>
      <c r="B2278" s="2" t="str">
        <f t="shared" si="374"/>
        <v>The Ammann</v>
      </c>
      <c r="C2278" s="1" t="s">
        <v>1586</v>
      </c>
      <c r="D2278" s="1" t="s">
        <v>41</v>
      </c>
      <c r="E2278" s="3">
        <v>1395003</v>
      </c>
      <c r="F2278" s="1">
        <v>1217.2801047120399</v>
      </c>
      <c r="G2278" s="1">
        <v>4</v>
      </c>
      <c r="H2278" s="1">
        <v>2</v>
      </c>
      <c r="I2278" s="1">
        <v>2</v>
      </c>
      <c r="J2278" s="1">
        <v>2</v>
      </c>
      <c r="K2278" s="1">
        <v>2</v>
      </c>
      <c r="M2278" s="4">
        <v>1146</v>
      </c>
      <c r="N2278" s="1">
        <v>596.49</v>
      </c>
      <c r="O2278" s="1">
        <v>1765.75</v>
      </c>
      <c r="P2278" s="1">
        <v>1169.25</v>
      </c>
      <c r="Q2278" s="1" t="s">
        <v>42</v>
      </c>
      <c r="S2278" s="1" t="s">
        <v>42</v>
      </c>
      <c r="T2278" s="1" t="s">
        <v>203</v>
      </c>
      <c r="V2278" s="5">
        <v>43642</v>
      </c>
      <c r="W2278" s="5">
        <v>43449</v>
      </c>
      <c r="X2278" s="1">
        <v>1370000</v>
      </c>
      <c r="Y2278" s="1">
        <v>1370000</v>
      </c>
      <c r="Z2278" s="5">
        <v>43449</v>
      </c>
      <c r="AA2278" s="1">
        <v>1395003</v>
      </c>
      <c r="AB2278" s="1" t="s">
        <v>1784</v>
      </c>
      <c r="AC2278" s="5">
        <v>43589</v>
      </c>
      <c r="AF2278" s="1">
        <v>10033</v>
      </c>
      <c r="AI2278" s="1" t="s">
        <v>123</v>
      </c>
      <c r="AJ2278" s="1">
        <v>2018</v>
      </c>
      <c r="AL2278" s="1">
        <v>24</v>
      </c>
    </row>
    <row r="2279" spans="1:38" x14ac:dyDescent="0.2">
      <c r="A2279" s="2" t="str">
        <f>HYPERLINK("https://www.compass.com/listing/40-pinehurst-avenue-unit-ph8b-manhattan-ny-10033/266194081993022705/","40 Pinehurst Ave, Unit PH8B")</f>
        <v>40 Pinehurst Ave, Unit PH8B</v>
      </c>
      <c r="B2279" s="2" t="str">
        <f t="shared" si="374"/>
        <v>The Ammann</v>
      </c>
      <c r="C2279" s="1" t="s">
        <v>1586</v>
      </c>
      <c r="D2279" s="1" t="s">
        <v>41</v>
      </c>
      <c r="E2279" s="3">
        <v>1340118</v>
      </c>
      <c r="F2279" s="1">
        <v>1284.8686481303901</v>
      </c>
      <c r="G2279" s="1">
        <v>4</v>
      </c>
      <c r="H2279" s="1">
        <v>2</v>
      </c>
      <c r="I2279" s="1">
        <v>2</v>
      </c>
      <c r="J2279" s="1">
        <v>2</v>
      </c>
      <c r="K2279" s="1">
        <v>2</v>
      </c>
      <c r="M2279" s="4">
        <v>1043</v>
      </c>
      <c r="N2279" s="1">
        <v>539.05999999999995</v>
      </c>
      <c r="O2279" s="1">
        <v>837.349999999999</v>
      </c>
      <c r="P2279" s="1">
        <v>298.25</v>
      </c>
      <c r="Q2279" s="1" t="s">
        <v>42</v>
      </c>
      <c r="S2279" s="1" t="s">
        <v>42</v>
      </c>
      <c r="T2279" s="1" t="s">
        <v>203</v>
      </c>
      <c r="V2279" s="5">
        <v>43703</v>
      </c>
      <c r="W2279" s="5">
        <v>43618</v>
      </c>
      <c r="X2279" s="1">
        <v>1328000</v>
      </c>
      <c r="Y2279" s="1">
        <v>1328000</v>
      </c>
      <c r="Z2279" s="5">
        <v>43618</v>
      </c>
      <c r="AA2279" s="1">
        <v>1340118</v>
      </c>
      <c r="AB2279" s="1" t="s">
        <v>1785</v>
      </c>
      <c r="AC2279" s="5">
        <v>43677</v>
      </c>
      <c r="AF2279" s="1">
        <v>10033</v>
      </c>
      <c r="AI2279" s="1" t="s">
        <v>123</v>
      </c>
      <c r="AJ2279" s="1">
        <v>2018</v>
      </c>
      <c r="AL2279" s="1">
        <v>24</v>
      </c>
    </row>
    <row r="2280" spans="1:38" x14ac:dyDescent="0.2">
      <c r="A2280" s="2" t="str">
        <f>HYPERLINK("https://www.compass.com/listing/17-convent-avenue-unit-2b-manhattan-ny-10027/803305415420720129/","17 Convent Ave, Unit 2B")</f>
        <v>17 Convent Ave, Unit 2B</v>
      </c>
      <c r="B2280" s="2" t="str">
        <f t="shared" ref="B2280:B2290" si="375">HYPERLINK("https://www.compass.com/building/17-convent-avenue-manhattan-ny/281979525124947109/","17 Convent Avenue")</f>
        <v>17 Convent Avenue</v>
      </c>
      <c r="C2280" s="1" t="s">
        <v>160</v>
      </c>
      <c r="D2280" s="1" t="s">
        <v>41</v>
      </c>
      <c r="E2280" s="3">
        <v>1125000</v>
      </c>
      <c r="F2280" s="1">
        <v>1056.3380281690099</v>
      </c>
      <c r="G2280" s="1">
        <v>4</v>
      </c>
      <c r="H2280" s="1">
        <v>2</v>
      </c>
      <c r="I2280" s="1">
        <v>2</v>
      </c>
      <c r="J2280" s="1">
        <v>2</v>
      </c>
      <c r="K2280" s="1">
        <v>2</v>
      </c>
      <c r="M2280" s="4">
        <v>1065</v>
      </c>
      <c r="N2280" s="1">
        <v>586</v>
      </c>
      <c r="O2280" s="1">
        <v>792</v>
      </c>
      <c r="P2280" s="1">
        <v>206</v>
      </c>
      <c r="Q2280" s="1" t="s">
        <v>42</v>
      </c>
      <c r="S2280" s="1" t="s">
        <v>42</v>
      </c>
      <c r="T2280" s="1" t="s">
        <v>203</v>
      </c>
      <c r="U2280" s="1">
        <v>78</v>
      </c>
      <c r="V2280" s="5">
        <v>43802</v>
      </c>
      <c r="W2280" s="5">
        <v>43536</v>
      </c>
      <c r="Y2280" s="1">
        <v>1218000</v>
      </c>
      <c r="Z2280" s="5">
        <v>43208</v>
      </c>
      <c r="AA2280" s="1">
        <v>1125000</v>
      </c>
      <c r="AB2280" s="1" t="s">
        <v>1772</v>
      </c>
      <c r="AC2280" s="5">
        <v>43859</v>
      </c>
      <c r="AF2280" s="1">
        <v>10027</v>
      </c>
      <c r="AI2280" s="1" t="s">
        <v>103</v>
      </c>
      <c r="AJ2280" s="1">
        <v>2019</v>
      </c>
      <c r="AK2280" s="1" t="s">
        <v>87</v>
      </c>
      <c r="AL2280" s="1">
        <v>21</v>
      </c>
    </row>
    <row r="2281" spans="1:38" x14ac:dyDescent="0.2">
      <c r="A2281" s="2" t="str">
        <f>HYPERLINK("https://www.compass.com/listing/17-convent-avenue-unit-3d-manhattan-ny-10027/29515679854090593/","17 Convent Ave, Unit 3D")</f>
        <v>17 Convent Ave, Unit 3D</v>
      </c>
      <c r="B2281" s="2" t="str">
        <f t="shared" si="375"/>
        <v>17 Convent Avenue</v>
      </c>
      <c r="C2281" s="1" t="s">
        <v>160</v>
      </c>
      <c r="D2281" s="1" t="s">
        <v>41</v>
      </c>
      <c r="E2281" s="3">
        <v>870604</v>
      </c>
      <c r="F2281" s="1">
        <v>1171.7412516823599</v>
      </c>
      <c r="G2281" s="1">
        <v>3</v>
      </c>
      <c r="H2281" s="1">
        <v>1</v>
      </c>
      <c r="I2281" s="1">
        <v>1</v>
      </c>
      <c r="J2281" s="1">
        <v>1</v>
      </c>
      <c r="K2281" s="1">
        <v>1</v>
      </c>
      <c r="M2281" s="1">
        <v>743</v>
      </c>
      <c r="N2281" s="1">
        <v>434</v>
      </c>
      <c r="O2281" s="1">
        <v>589</v>
      </c>
      <c r="P2281" s="1">
        <v>155</v>
      </c>
      <c r="Q2281" s="1" t="s">
        <v>42</v>
      </c>
      <c r="S2281" s="1" t="s">
        <v>42</v>
      </c>
      <c r="T2281" s="1" t="s">
        <v>203</v>
      </c>
      <c r="U2281" s="1">
        <v>32</v>
      </c>
      <c r="V2281" s="5">
        <v>43677</v>
      </c>
      <c r="W2281" s="5">
        <v>43175</v>
      </c>
      <c r="X2281" s="1">
        <v>855000</v>
      </c>
      <c r="Y2281" s="1">
        <v>855000</v>
      </c>
      <c r="Z2281" s="5">
        <v>43207</v>
      </c>
      <c r="AA2281" s="1">
        <v>870603.75</v>
      </c>
      <c r="AB2281" s="1" t="s">
        <v>1786</v>
      </c>
      <c r="AC2281" s="5">
        <v>43657</v>
      </c>
      <c r="AF2281" s="1">
        <v>10027</v>
      </c>
      <c r="AI2281" s="1" t="s">
        <v>100</v>
      </c>
      <c r="AJ2281" s="1">
        <v>2019</v>
      </c>
      <c r="AK2281" s="1" t="s">
        <v>87</v>
      </c>
      <c r="AL2281" s="1">
        <v>21</v>
      </c>
    </row>
    <row r="2282" spans="1:38" x14ac:dyDescent="0.2">
      <c r="A2282" s="2" t="str">
        <f>HYPERLINK("https://www.compass.com/listing/17-convent-avenue-unit-2d-manhattan-ny-10027/29515680810391937/","17 Convent Ave, Unit 2D")</f>
        <v>17 Convent Ave, Unit 2D</v>
      </c>
      <c r="B2282" s="2" t="str">
        <f t="shared" si="375"/>
        <v>17 Convent Avenue</v>
      </c>
      <c r="C2282" s="1" t="s">
        <v>160</v>
      </c>
      <c r="D2282" s="1" t="s">
        <v>41</v>
      </c>
      <c r="E2282" s="3">
        <v>842619</v>
      </c>
      <c r="F2282" s="1">
        <v>1134.0772139973001</v>
      </c>
      <c r="G2282" s="1">
        <v>3</v>
      </c>
      <c r="H2282" s="1">
        <v>1</v>
      </c>
      <c r="I2282" s="1">
        <v>1</v>
      </c>
      <c r="J2282" s="1">
        <v>1</v>
      </c>
      <c r="K2282" s="1">
        <v>1</v>
      </c>
      <c r="M2282" s="1">
        <v>743</v>
      </c>
      <c r="N2282" s="1">
        <v>426</v>
      </c>
      <c r="O2282" s="1">
        <v>578</v>
      </c>
      <c r="P2282" s="1">
        <v>152</v>
      </c>
      <c r="Q2282" s="1" t="s">
        <v>42</v>
      </c>
      <c r="S2282" s="1" t="s">
        <v>42</v>
      </c>
      <c r="T2282" s="1" t="s">
        <v>203</v>
      </c>
      <c r="U2282" s="1">
        <v>36</v>
      </c>
      <c r="V2282" s="5">
        <v>43676</v>
      </c>
      <c r="W2282" s="5">
        <v>43536</v>
      </c>
      <c r="Y2282" s="1">
        <v>835000</v>
      </c>
      <c r="Z2282" s="5">
        <v>43572</v>
      </c>
      <c r="AA2282" s="1">
        <v>842619.37</v>
      </c>
      <c r="AB2282" s="1" t="s">
        <v>1787</v>
      </c>
      <c r="AC2282" s="5">
        <v>43644</v>
      </c>
      <c r="AF2282" s="1">
        <v>10027</v>
      </c>
      <c r="AI2282" s="1" t="s">
        <v>100</v>
      </c>
      <c r="AJ2282" s="1">
        <v>2019</v>
      </c>
      <c r="AK2282" s="1" t="s">
        <v>87</v>
      </c>
      <c r="AL2282" s="1">
        <v>21</v>
      </c>
    </row>
    <row r="2283" spans="1:38" x14ac:dyDescent="0.2">
      <c r="A2283" s="2" t="str">
        <f>HYPERLINK("https://www.compass.com/listing/17-convent-avenue-unit-5a-manhattan-ny-10027/29515682035054913/","17 Convent Ave, Unit 5A")</f>
        <v>17 Convent Ave, Unit 5A</v>
      </c>
      <c r="B2283" s="2" t="str">
        <f t="shared" si="375"/>
        <v>17 Convent Avenue</v>
      </c>
      <c r="C2283" s="1" t="s">
        <v>160</v>
      </c>
      <c r="D2283" s="1" t="s">
        <v>41</v>
      </c>
      <c r="E2283" s="3">
        <v>835000</v>
      </c>
      <c r="F2283" s="1">
        <v>1129.9052774018901</v>
      </c>
      <c r="G2283" s="1">
        <v>3</v>
      </c>
      <c r="H2283" s="1">
        <v>1</v>
      </c>
      <c r="I2283" s="1">
        <v>1</v>
      </c>
      <c r="J2283" s="1">
        <v>1</v>
      </c>
      <c r="K2283" s="1">
        <v>1</v>
      </c>
      <c r="M2283" s="1">
        <v>739</v>
      </c>
      <c r="N2283" s="1">
        <v>434</v>
      </c>
      <c r="O2283" s="1">
        <v>587</v>
      </c>
      <c r="P2283" s="1">
        <v>153</v>
      </c>
      <c r="Q2283" s="1" t="s">
        <v>42</v>
      </c>
      <c r="S2283" s="1" t="s">
        <v>42</v>
      </c>
      <c r="T2283" s="1" t="s">
        <v>203</v>
      </c>
      <c r="U2283" s="1">
        <v>160</v>
      </c>
      <c r="V2283" s="5">
        <v>43676</v>
      </c>
      <c r="W2283" s="5">
        <v>43356</v>
      </c>
      <c r="Y2283" s="1">
        <v>855000</v>
      </c>
      <c r="Z2283" s="5">
        <v>43517</v>
      </c>
      <c r="AA2283" s="1">
        <v>835000</v>
      </c>
      <c r="AB2283" s="1" t="s">
        <v>1788</v>
      </c>
      <c r="AC2283" s="5">
        <v>43647</v>
      </c>
      <c r="AF2283" s="1">
        <v>10027</v>
      </c>
      <c r="AI2283" s="1" t="s">
        <v>49</v>
      </c>
      <c r="AJ2283" s="1">
        <v>2019</v>
      </c>
      <c r="AK2283" s="1" t="s">
        <v>162</v>
      </c>
      <c r="AL2283" s="1">
        <v>21</v>
      </c>
    </row>
    <row r="2284" spans="1:38" x14ac:dyDescent="0.2">
      <c r="A2284" s="2" t="str">
        <f>HYPERLINK("https://www.compass.com/listing/17-convent-avenue-unit-4d-manhattan-ny-10027/29515682337071185/","17 Convent Ave, Unit 4D")</f>
        <v>17 Convent Ave, Unit 4D</v>
      </c>
      <c r="B2284" s="2" t="str">
        <f t="shared" si="375"/>
        <v>17 Convent Avenue</v>
      </c>
      <c r="C2284" s="1" t="s">
        <v>160</v>
      </c>
      <c r="D2284" s="1" t="s">
        <v>41</v>
      </c>
      <c r="E2284" s="3">
        <v>850239</v>
      </c>
      <c r="F2284" s="1">
        <v>1144.3320995962299</v>
      </c>
      <c r="G2284" s="1">
        <v>3</v>
      </c>
      <c r="H2284" s="1">
        <v>1</v>
      </c>
      <c r="I2284" s="1">
        <v>1</v>
      </c>
      <c r="J2284" s="1">
        <v>1</v>
      </c>
      <c r="K2284" s="1">
        <v>1</v>
      </c>
      <c r="M2284" s="1">
        <v>743</v>
      </c>
      <c r="N2284" s="1">
        <v>439</v>
      </c>
      <c r="O2284" s="1">
        <v>596</v>
      </c>
      <c r="P2284" s="1">
        <v>157</v>
      </c>
      <c r="Q2284" s="1" t="s">
        <v>42</v>
      </c>
      <c r="S2284" s="1" t="s">
        <v>42</v>
      </c>
      <c r="T2284" s="1" t="s">
        <v>203</v>
      </c>
      <c r="U2284" s="1">
        <v>39</v>
      </c>
      <c r="V2284" s="5">
        <v>43676</v>
      </c>
      <c r="W2284" s="5">
        <v>43139</v>
      </c>
      <c r="X2284" s="1">
        <v>835000</v>
      </c>
      <c r="Y2284" s="1">
        <v>865000</v>
      </c>
      <c r="Z2284" s="5">
        <v>43179</v>
      </c>
      <c r="AA2284" s="1">
        <v>850238.75</v>
      </c>
      <c r="AB2284" s="1" t="s">
        <v>1789</v>
      </c>
      <c r="AC2284" s="5">
        <v>43644</v>
      </c>
      <c r="AF2284" s="1">
        <v>10027</v>
      </c>
      <c r="AI2284" s="1" t="s">
        <v>100</v>
      </c>
      <c r="AJ2284" s="1">
        <v>2019</v>
      </c>
      <c r="AK2284" s="1" t="s">
        <v>162</v>
      </c>
      <c r="AL2284" s="1">
        <v>21</v>
      </c>
    </row>
    <row r="2285" spans="1:38" x14ac:dyDescent="0.2">
      <c r="A2285" s="2" t="str">
        <f>HYPERLINK("https://www.compass.com/listing/17-convent-avenue-unit-3a-manhattan-ny-10027/29515683914103169/","17 Convent Ave, Unit 3A")</f>
        <v>17 Convent Ave, Unit 3A</v>
      </c>
      <c r="B2285" s="2" t="str">
        <f t="shared" si="375"/>
        <v>17 Convent Avenue</v>
      </c>
      <c r="C2285" s="1" t="s">
        <v>160</v>
      </c>
      <c r="D2285" s="1" t="s">
        <v>41</v>
      </c>
      <c r="E2285" s="3">
        <v>835000</v>
      </c>
      <c r="F2285" s="1">
        <v>1129.9052774018901</v>
      </c>
      <c r="G2285" s="1">
        <v>3</v>
      </c>
      <c r="H2285" s="1">
        <v>1</v>
      </c>
      <c r="I2285" s="1">
        <v>1</v>
      </c>
      <c r="J2285" s="1">
        <v>1</v>
      </c>
      <c r="K2285" s="1">
        <v>1</v>
      </c>
      <c r="M2285" s="1">
        <v>739</v>
      </c>
      <c r="N2285" s="1">
        <v>423</v>
      </c>
      <c r="O2285" s="1">
        <v>574</v>
      </c>
      <c r="P2285" s="1">
        <v>151</v>
      </c>
      <c r="Q2285" s="1" t="s">
        <v>42</v>
      </c>
      <c r="S2285" s="1" t="s">
        <v>42</v>
      </c>
      <c r="T2285" s="1" t="s">
        <v>203</v>
      </c>
      <c r="U2285" s="1">
        <v>26</v>
      </c>
      <c r="V2285" s="5">
        <v>43676</v>
      </c>
      <c r="W2285" s="5">
        <v>43516</v>
      </c>
      <c r="Y2285" s="1">
        <v>835000</v>
      </c>
      <c r="Z2285" s="5">
        <v>43543</v>
      </c>
      <c r="AA2285" s="1">
        <v>835000</v>
      </c>
      <c r="AB2285" s="1" t="s">
        <v>1790</v>
      </c>
      <c r="AC2285" s="5">
        <v>43643</v>
      </c>
      <c r="AF2285" s="1">
        <v>10027</v>
      </c>
      <c r="AI2285" s="1" t="s">
        <v>49</v>
      </c>
      <c r="AJ2285" s="1">
        <v>2019</v>
      </c>
      <c r="AK2285" s="1" t="s">
        <v>87</v>
      </c>
      <c r="AL2285" s="1">
        <v>21</v>
      </c>
    </row>
    <row r="2286" spans="1:38" x14ac:dyDescent="0.2">
      <c r="A2286" s="2" t="str">
        <f>HYPERLINK("https://www.compass.com/listing/17-convent-avenue-unit-2a-manhattan-ny-10027/567391038879187929/","17 Convent Ave, Unit 2A")</f>
        <v>17 Convent Ave, Unit 2A</v>
      </c>
      <c r="B2286" s="2" t="str">
        <f t="shared" si="375"/>
        <v>17 Convent Avenue</v>
      </c>
      <c r="C2286" s="1" t="s">
        <v>160</v>
      </c>
      <c r="D2286" s="1" t="s">
        <v>41</v>
      </c>
      <c r="E2286" s="3">
        <v>765000</v>
      </c>
      <c r="F2286" s="1">
        <v>1035.18267929634</v>
      </c>
      <c r="G2286" s="1">
        <v>3</v>
      </c>
      <c r="H2286" s="1">
        <v>1</v>
      </c>
      <c r="I2286" s="1">
        <v>1</v>
      </c>
      <c r="J2286" s="1">
        <v>1</v>
      </c>
      <c r="K2286" s="1">
        <v>1</v>
      </c>
      <c r="M2286" s="1">
        <v>739</v>
      </c>
      <c r="N2286" s="1">
        <v>434</v>
      </c>
      <c r="O2286" s="1">
        <v>783</v>
      </c>
      <c r="P2286" s="1">
        <v>349</v>
      </c>
      <c r="Q2286" s="1" t="s">
        <v>42</v>
      </c>
      <c r="S2286" s="1" t="s">
        <v>42</v>
      </c>
      <c r="T2286" s="1" t="s">
        <v>203</v>
      </c>
      <c r="U2286" s="1">
        <v>91</v>
      </c>
      <c r="V2286" s="5">
        <v>44232</v>
      </c>
      <c r="W2286" s="5">
        <v>44034</v>
      </c>
      <c r="X2286" s="1">
        <v>785000</v>
      </c>
      <c r="Y2286" s="1">
        <v>785000</v>
      </c>
      <c r="Z2286" s="5">
        <v>44126</v>
      </c>
      <c r="AA2286" s="1">
        <v>765000</v>
      </c>
      <c r="AB2286" s="1" t="s">
        <v>1791</v>
      </c>
      <c r="AC2286" s="5">
        <v>44223</v>
      </c>
      <c r="AF2286" s="1">
        <v>10027</v>
      </c>
      <c r="AI2286" s="1" t="s">
        <v>100</v>
      </c>
      <c r="AJ2286" s="1">
        <v>2019</v>
      </c>
      <c r="AK2286" s="1" t="s">
        <v>87</v>
      </c>
      <c r="AL2286" s="1">
        <v>21</v>
      </c>
    </row>
    <row r="2287" spans="1:38" x14ac:dyDescent="0.2">
      <c r="A2287" s="2" t="str">
        <f>HYPERLINK("https://www.compass.com/listing/17-convent-avenue-unit-5b-manhattan-ny-10027/29515683310149745/","17 Convent Ave, Unit 5B")</f>
        <v>17 Convent Ave, Unit 5B</v>
      </c>
      <c r="B2287" s="2" t="str">
        <f t="shared" si="375"/>
        <v>17 Convent Avenue</v>
      </c>
      <c r="C2287" s="1" t="s">
        <v>160</v>
      </c>
      <c r="D2287" s="1" t="s">
        <v>41</v>
      </c>
      <c r="E2287" s="3">
        <v>1176079</v>
      </c>
      <c r="F2287" s="1">
        <v>1104.2992957746401</v>
      </c>
      <c r="G2287" s="1">
        <v>4</v>
      </c>
      <c r="H2287" s="1">
        <v>2</v>
      </c>
      <c r="I2287" s="1">
        <v>2</v>
      </c>
      <c r="J2287" s="1">
        <v>2</v>
      </c>
      <c r="K2287" s="1">
        <v>2</v>
      </c>
      <c r="M2287" s="4">
        <v>1065</v>
      </c>
      <c r="N2287" s="1">
        <v>618</v>
      </c>
      <c r="O2287" s="1">
        <v>849</v>
      </c>
      <c r="P2287" s="1">
        <v>231</v>
      </c>
      <c r="Q2287" s="1" t="s">
        <v>42</v>
      </c>
      <c r="S2287" s="1" t="s">
        <v>42</v>
      </c>
      <c r="T2287" s="1" t="s">
        <v>203</v>
      </c>
      <c r="U2287" s="1">
        <v>2</v>
      </c>
      <c r="V2287" s="5">
        <v>43676</v>
      </c>
      <c r="W2287" s="5">
        <v>43145</v>
      </c>
      <c r="X2287" s="1">
        <v>1230000</v>
      </c>
      <c r="Y2287" s="1">
        <v>1278000</v>
      </c>
      <c r="Z2287" s="5">
        <v>43148</v>
      </c>
      <c r="AA2287" s="1">
        <v>1176078.75</v>
      </c>
      <c r="AB2287" s="1" t="s">
        <v>1792</v>
      </c>
      <c r="AC2287" s="5">
        <v>43644</v>
      </c>
      <c r="AF2287" s="1">
        <v>10027</v>
      </c>
      <c r="AI2287" s="1" t="s">
        <v>100</v>
      </c>
      <c r="AJ2287" s="1">
        <v>2019</v>
      </c>
      <c r="AK2287" s="1" t="s">
        <v>162</v>
      </c>
      <c r="AL2287" s="1">
        <v>21</v>
      </c>
    </row>
    <row r="2288" spans="1:38" x14ac:dyDescent="0.2">
      <c r="A2288" s="2" t="str">
        <f>HYPERLINK("https://www.compass.com/listing/17-convent-avenue-unit-3c-manhattan-ny-10027/29515679317145825/","17 Convent Ave, Unit 3C")</f>
        <v>17 Convent Ave, Unit 3C</v>
      </c>
      <c r="B2288" s="2" t="str">
        <f t="shared" si="375"/>
        <v>17 Convent Avenue</v>
      </c>
      <c r="C2288" s="1" t="s">
        <v>160</v>
      </c>
      <c r="D2288" s="1" t="s">
        <v>41</v>
      </c>
      <c r="E2288" s="3">
        <v>1237174</v>
      </c>
      <c r="F2288" s="1">
        <v>1177.13962892483</v>
      </c>
      <c r="G2288" s="1">
        <v>4</v>
      </c>
      <c r="H2288" s="1">
        <v>2</v>
      </c>
      <c r="I2288" s="1">
        <v>2</v>
      </c>
      <c r="J2288" s="1">
        <v>2</v>
      </c>
      <c r="K2288" s="1">
        <v>2</v>
      </c>
      <c r="M2288" s="4">
        <v>1051</v>
      </c>
      <c r="N2288" s="1">
        <v>613</v>
      </c>
      <c r="O2288" s="1">
        <v>841</v>
      </c>
      <c r="P2288" s="1">
        <v>228</v>
      </c>
      <c r="Q2288" s="1" t="s">
        <v>42</v>
      </c>
      <c r="S2288" s="1" t="s">
        <v>42</v>
      </c>
      <c r="T2288" s="1" t="s">
        <v>203</v>
      </c>
      <c r="V2288" s="5">
        <v>43671</v>
      </c>
      <c r="W2288" s="5">
        <v>43189</v>
      </c>
      <c r="X2288" s="1">
        <v>1235000</v>
      </c>
      <c r="Y2288" s="1">
        <v>1235000</v>
      </c>
      <c r="Z2288" s="5">
        <v>43190</v>
      </c>
      <c r="AA2288" s="1">
        <v>1237173.75</v>
      </c>
      <c r="AB2288" s="1" t="s">
        <v>1793</v>
      </c>
      <c r="AC2288" s="5">
        <v>43644</v>
      </c>
      <c r="AF2288" s="1">
        <v>10027</v>
      </c>
      <c r="AI2288" s="1" t="s">
        <v>49</v>
      </c>
      <c r="AJ2288" s="1">
        <v>2019</v>
      </c>
      <c r="AK2288" s="1" t="s">
        <v>162</v>
      </c>
      <c r="AL2288" s="1">
        <v>21</v>
      </c>
    </row>
    <row r="2289" spans="1:38" x14ac:dyDescent="0.2">
      <c r="A2289" s="2" t="str">
        <f>HYPERLINK("https://www.compass.com/listing/17-convent-avenue-unit-phc-manhattan-ny-10027/343461609522972145/","17 Convent Ave, Unit PHC")</f>
        <v>17 Convent Ave, Unit PHC</v>
      </c>
      <c r="B2289" s="2" t="str">
        <f t="shared" si="375"/>
        <v>17 Convent Avenue</v>
      </c>
      <c r="C2289" s="1" t="s">
        <v>1766</v>
      </c>
      <c r="D2289" s="1" t="s">
        <v>41</v>
      </c>
      <c r="E2289" s="3">
        <v>1440000</v>
      </c>
      <c r="F2289" s="1">
        <v>1155.6982343499101</v>
      </c>
      <c r="G2289" s="1">
        <v>4</v>
      </c>
      <c r="H2289" s="1">
        <v>2</v>
      </c>
      <c r="I2289" s="1">
        <v>2</v>
      </c>
      <c r="J2289" s="1">
        <v>2</v>
      </c>
      <c r="K2289" s="1">
        <v>2</v>
      </c>
      <c r="M2289" s="4">
        <v>1246</v>
      </c>
      <c r="N2289" s="1">
        <v>861</v>
      </c>
      <c r="O2289" s="1">
        <v>2612</v>
      </c>
      <c r="P2289" s="1">
        <v>1751</v>
      </c>
      <c r="Q2289" s="1" t="s">
        <v>42</v>
      </c>
      <c r="S2289" s="1" t="s">
        <v>42</v>
      </c>
      <c r="T2289" s="1" t="s">
        <v>203</v>
      </c>
      <c r="U2289" s="1">
        <v>123</v>
      </c>
      <c r="V2289" s="5">
        <v>43872</v>
      </c>
      <c r="W2289" s="5">
        <v>43679</v>
      </c>
      <c r="X2289" s="1">
        <v>1590000</v>
      </c>
      <c r="Y2289" s="1">
        <v>1490000</v>
      </c>
      <c r="Z2289" s="5">
        <v>43802</v>
      </c>
      <c r="AA2289" s="1">
        <v>1440000</v>
      </c>
      <c r="AB2289" s="1" t="s">
        <v>1794</v>
      </c>
      <c r="AC2289" s="5">
        <v>43859</v>
      </c>
      <c r="AF2289" s="1">
        <v>10027</v>
      </c>
      <c r="AI2289" s="1" t="s">
        <v>51</v>
      </c>
      <c r="AJ2289" s="1">
        <v>2019</v>
      </c>
      <c r="AK2289" s="1" t="s">
        <v>87</v>
      </c>
      <c r="AL2289" s="1">
        <v>21</v>
      </c>
    </row>
    <row r="2290" spans="1:38" x14ac:dyDescent="0.2">
      <c r="A2290" s="2" t="str">
        <f>HYPERLINK("https://www.compass.com/listing/17-convent-avenue-unit-4c-manhattan-ny-10027/29515681447878689/","17 Convent Ave, Unit 4C")</f>
        <v>17 Convent Ave, Unit 4C</v>
      </c>
      <c r="B2290" s="2" t="str">
        <f t="shared" si="375"/>
        <v>17 Convent Avenue</v>
      </c>
      <c r="C2290" s="1" t="s">
        <v>1766</v>
      </c>
      <c r="D2290" s="1" t="s">
        <v>41</v>
      </c>
      <c r="E2290" s="3">
        <v>1257538</v>
      </c>
      <c r="F2290" s="1">
        <v>1196.5156993339599</v>
      </c>
      <c r="G2290" s="1">
        <v>4</v>
      </c>
      <c r="H2290" s="1">
        <v>2</v>
      </c>
      <c r="I2290" s="1">
        <v>2</v>
      </c>
      <c r="J2290" s="1">
        <v>2</v>
      </c>
      <c r="K2290" s="1">
        <v>2</v>
      </c>
      <c r="M2290" s="4">
        <v>1051</v>
      </c>
      <c r="N2290" s="1">
        <v>626</v>
      </c>
      <c r="O2290" s="1">
        <v>862</v>
      </c>
      <c r="P2290" s="1">
        <v>236</v>
      </c>
      <c r="Q2290" s="1" t="s">
        <v>42</v>
      </c>
      <c r="S2290" s="1" t="s">
        <v>42</v>
      </c>
      <c r="T2290" s="1" t="s">
        <v>203</v>
      </c>
      <c r="U2290" s="1">
        <v>29</v>
      </c>
      <c r="V2290" s="5">
        <v>43694</v>
      </c>
      <c r="W2290" s="5">
        <v>43140</v>
      </c>
      <c r="X2290" s="1">
        <v>1199000</v>
      </c>
      <c r="Y2290" s="1">
        <v>1255000</v>
      </c>
      <c r="Z2290" s="5">
        <v>43169</v>
      </c>
      <c r="AA2290" s="1">
        <v>1257538</v>
      </c>
      <c r="AB2290" s="1" t="s">
        <v>1795</v>
      </c>
      <c r="AC2290" s="5">
        <v>43631</v>
      </c>
      <c r="AF2290" s="1">
        <v>10027</v>
      </c>
      <c r="AI2290" s="1" t="s">
        <v>100</v>
      </c>
      <c r="AJ2290" s="1">
        <v>2019</v>
      </c>
      <c r="AK2290" s="1" t="s">
        <v>162</v>
      </c>
      <c r="AL2290" s="1">
        <v>21</v>
      </c>
    </row>
    <row r="2291" spans="1:38" x14ac:dyDescent="0.2">
      <c r="A2291" s="2" t="str">
        <f>HYPERLINK("https://www.compass.com/listing/1399-park-avenue-unit-19a-manhattan-ny-10029/815790536911512409/","1399 Park Ave, Unit 19A")</f>
        <v>1399 Park Ave, Unit 19A</v>
      </c>
      <c r="B2291" s="2" t="str">
        <f>HYPERLINK("https://www.compass.com/building/1399-park-manhattan-ny/281988559521557189/","1399 Park")</f>
        <v>1399 Park</v>
      </c>
      <c r="C2291" s="1" t="s">
        <v>82</v>
      </c>
      <c r="D2291" s="1" t="s">
        <v>41</v>
      </c>
      <c r="E2291" s="3">
        <v>1995000</v>
      </c>
      <c r="F2291" s="1">
        <v>988.60257680872098</v>
      </c>
      <c r="G2291" s="1">
        <v>5</v>
      </c>
      <c r="H2291" s="1">
        <v>3</v>
      </c>
      <c r="J2291" s="1">
        <v>3</v>
      </c>
      <c r="M2291" s="4">
        <v>2018</v>
      </c>
      <c r="N2291" s="1">
        <v>2343</v>
      </c>
      <c r="O2291" s="1">
        <v>4624</v>
      </c>
      <c r="P2291" s="1">
        <v>2281</v>
      </c>
      <c r="S2291" s="1" t="s">
        <v>42</v>
      </c>
      <c r="T2291" s="1" t="s">
        <v>203</v>
      </c>
      <c r="U2291" s="1">
        <v>12</v>
      </c>
      <c r="V2291" s="5">
        <v>44391</v>
      </c>
      <c r="W2291" s="5">
        <v>44377</v>
      </c>
      <c r="X2291" s="1">
        <v>1995000</v>
      </c>
      <c r="Y2291" s="1">
        <v>1995000</v>
      </c>
      <c r="AA2291" s="1">
        <v>1995000</v>
      </c>
      <c r="AB2291" s="1" t="s">
        <v>204</v>
      </c>
      <c r="AC2291" s="5">
        <v>44390</v>
      </c>
      <c r="AF2291" s="1">
        <v>10029</v>
      </c>
      <c r="AI2291" s="1" t="s">
        <v>52</v>
      </c>
      <c r="AJ2291" s="1">
        <v>2019</v>
      </c>
      <c r="AK2291" s="1" t="s">
        <v>55</v>
      </c>
      <c r="AL2291" s="1">
        <v>72</v>
      </c>
    </row>
    <row r="2292" spans="1:38" x14ac:dyDescent="0.2">
      <c r="A2292" s="2" t="str">
        <f>HYPERLINK("https://www.compass.com/listing/17-convent-avenue-unit-4b-manhattan-ny-10027/29515679577219041/","17 Convent Ave, Unit 4B")</f>
        <v>17 Convent Ave, Unit 4B</v>
      </c>
      <c r="B2292" s="2" t="str">
        <f t="shared" ref="B2292:B2293" si="376">HYPERLINK("https://www.compass.com/building/17-convent-avenue-manhattan-ny/281979525124947109/","17 Convent Avenue")</f>
        <v>17 Convent Avenue</v>
      </c>
      <c r="C2292" s="1" t="s">
        <v>160</v>
      </c>
      <c r="D2292" s="1" t="s">
        <v>41</v>
      </c>
      <c r="E2292" s="3">
        <v>1262630</v>
      </c>
      <c r="F2292" s="1">
        <v>1185.56807511737</v>
      </c>
      <c r="G2292" s="1">
        <v>4</v>
      </c>
      <c r="H2292" s="1">
        <v>2</v>
      </c>
      <c r="I2292" s="1">
        <v>2</v>
      </c>
      <c r="J2292" s="1">
        <v>2</v>
      </c>
      <c r="K2292" s="1">
        <v>2</v>
      </c>
      <c r="M2292" s="4">
        <v>1065</v>
      </c>
      <c r="N2292" s="1">
        <v>607</v>
      </c>
      <c r="O2292" s="1">
        <v>831</v>
      </c>
      <c r="P2292" s="1">
        <v>224</v>
      </c>
      <c r="Q2292" s="1" t="s">
        <v>42</v>
      </c>
      <c r="S2292" s="1" t="s">
        <v>42</v>
      </c>
      <c r="T2292" s="1" t="s">
        <v>203</v>
      </c>
      <c r="U2292" s="1">
        <v>56</v>
      </c>
      <c r="V2292" s="5">
        <v>43676</v>
      </c>
      <c r="W2292" s="5">
        <v>43145</v>
      </c>
      <c r="X2292" s="1">
        <v>1258000</v>
      </c>
      <c r="Y2292" s="1">
        <v>1258000</v>
      </c>
      <c r="Z2292" s="5">
        <v>43202</v>
      </c>
      <c r="AA2292" s="1">
        <v>1262630</v>
      </c>
      <c r="AB2292" s="1" t="s">
        <v>1796</v>
      </c>
      <c r="AC2292" s="5">
        <v>43644</v>
      </c>
      <c r="AF2292" s="1">
        <v>10027</v>
      </c>
      <c r="AI2292" s="1" t="s">
        <v>103</v>
      </c>
      <c r="AJ2292" s="1">
        <v>2019</v>
      </c>
      <c r="AK2292" s="1" t="s">
        <v>162</v>
      </c>
      <c r="AL2292" s="1">
        <v>21</v>
      </c>
    </row>
    <row r="2293" spans="1:38" x14ac:dyDescent="0.2">
      <c r="A2293" s="2" t="str">
        <f>HYPERLINK("https://www.compass.com/listing/17-convent-avenue-unit-gardena-manhattan-ny-10027/29515678671249345/","17 Convent Ave, Unit GARDENA")</f>
        <v>17 Convent Ave, Unit GARDENA</v>
      </c>
      <c r="B2293" s="2" t="str">
        <f t="shared" si="376"/>
        <v>17 Convent Avenue</v>
      </c>
      <c r="C2293" s="1" t="s">
        <v>160</v>
      </c>
      <c r="D2293" s="1" t="s">
        <v>41</v>
      </c>
      <c r="E2293" s="3">
        <v>1221143</v>
      </c>
      <c r="F2293" s="1">
        <v>884.88617391304297</v>
      </c>
      <c r="G2293" s="1">
        <v>3</v>
      </c>
      <c r="H2293" s="1">
        <v>1</v>
      </c>
      <c r="I2293" s="1">
        <v>2</v>
      </c>
      <c r="J2293" s="1">
        <v>1</v>
      </c>
      <c r="K2293" s="1">
        <v>1</v>
      </c>
      <c r="M2293" s="4">
        <v>1380</v>
      </c>
      <c r="N2293" s="1">
        <v>588</v>
      </c>
      <c r="O2293" s="1">
        <v>800</v>
      </c>
      <c r="P2293" s="1">
        <v>212</v>
      </c>
      <c r="Q2293" s="1" t="s">
        <v>42</v>
      </c>
      <c r="S2293" s="1" t="s">
        <v>42</v>
      </c>
      <c r="T2293" s="1" t="s">
        <v>203</v>
      </c>
      <c r="V2293" s="5">
        <v>43676</v>
      </c>
      <c r="W2293" s="5">
        <v>43208</v>
      </c>
      <c r="X2293" s="1">
        <v>1210000</v>
      </c>
      <c r="Y2293" s="1">
        <v>1210000</v>
      </c>
      <c r="Z2293" s="5">
        <v>43208</v>
      </c>
      <c r="AA2293" s="1">
        <v>1221142.92</v>
      </c>
      <c r="AB2293" s="1" t="s">
        <v>1797</v>
      </c>
      <c r="AC2293" s="5">
        <v>43640</v>
      </c>
      <c r="AF2293" s="1">
        <v>10027</v>
      </c>
      <c r="AI2293" s="1" t="s">
        <v>103</v>
      </c>
      <c r="AJ2293" s="1">
        <v>2019</v>
      </c>
      <c r="AK2293" s="1" t="s">
        <v>162</v>
      </c>
      <c r="AL2293" s="1">
        <v>21</v>
      </c>
    </row>
    <row r="2294" spans="1:38" x14ac:dyDescent="0.2">
      <c r="A2294" s="2" t="str">
        <f>HYPERLINK("https://www.compass.com/listing/200-east-59th-street-unit-23d-manhattan-ny-10022/385466950255238577/","200 E 59th St, Unit 23D")</f>
        <v>200 E 59th St, Unit 23D</v>
      </c>
      <c r="B2294" s="2" t="str">
        <f>HYPERLINK("https://www.compass.com/building/200-east-59th-street-manhattan-ny/292859303948266645/","200 East 59th Street")</f>
        <v>200 East 59th Street</v>
      </c>
      <c r="C2294" s="1" t="s">
        <v>171</v>
      </c>
      <c r="D2294" s="1" t="s">
        <v>41</v>
      </c>
      <c r="E2294" s="3">
        <v>4239363</v>
      </c>
      <c r="F2294" s="1">
        <v>2220.7242011524299</v>
      </c>
      <c r="G2294" s="1">
        <v>4.5</v>
      </c>
      <c r="H2294" s="1">
        <v>2</v>
      </c>
      <c r="I2294" s="1">
        <v>3</v>
      </c>
      <c r="J2294" s="1">
        <v>2.5</v>
      </c>
      <c r="K2294" s="1">
        <v>2</v>
      </c>
      <c r="L2294" s="1">
        <v>1</v>
      </c>
      <c r="M2294" s="4">
        <v>1909</v>
      </c>
      <c r="N2294" s="1">
        <v>2583</v>
      </c>
      <c r="O2294" s="1">
        <v>4689</v>
      </c>
      <c r="P2294" s="1">
        <v>2106</v>
      </c>
      <c r="Q2294" s="1" t="s">
        <v>42</v>
      </c>
      <c r="S2294" s="1" t="s">
        <v>42</v>
      </c>
      <c r="T2294" s="1" t="s">
        <v>203</v>
      </c>
      <c r="V2294" s="5">
        <v>43878</v>
      </c>
      <c r="W2294" s="5">
        <v>43791</v>
      </c>
      <c r="X2294" s="1">
        <v>5320000</v>
      </c>
      <c r="Y2294" s="1">
        <v>5320000</v>
      </c>
      <c r="Z2294" s="5">
        <v>43791</v>
      </c>
      <c r="AA2294" s="1">
        <v>4239362.5</v>
      </c>
      <c r="AB2294" s="1" t="s">
        <v>1798</v>
      </c>
      <c r="AC2294" s="5">
        <v>43868</v>
      </c>
      <c r="AF2294" s="1">
        <v>10022</v>
      </c>
      <c r="AI2294" s="1" t="s">
        <v>98</v>
      </c>
      <c r="AJ2294" s="1">
        <v>2018</v>
      </c>
      <c r="AK2294" s="1" t="s">
        <v>50</v>
      </c>
      <c r="AL2294" s="1">
        <v>67</v>
      </c>
    </row>
    <row r="2295" spans="1:38" x14ac:dyDescent="0.2">
      <c r="A2295" s="2" t="str">
        <f>HYPERLINK("https://www.compass.com/listing/1810-3rd-avenue-unit-b2c-manhattan-ny-10029/4852261204783006945/","1810 3rd Ave, Unit B2C")</f>
        <v>1810 3rd Ave, Unit B2C</v>
      </c>
      <c r="B2295" s="2" t="str">
        <f t="shared" ref="B2295:B2312" si="377">HYPERLINK("https://www.compass.com/building/the-art-house-condominiums-manhattan-ny/281989881993998229/","The Art House Condominiums")</f>
        <v>The Art House Condominiums</v>
      </c>
      <c r="C2295" s="1" t="s">
        <v>82</v>
      </c>
      <c r="D2295" s="1" t="s">
        <v>41</v>
      </c>
      <c r="E2295" s="3">
        <v>555900</v>
      </c>
      <c r="F2295" s="1">
        <v>926.5</v>
      </c>
      <c r="G2295" s="1">
        <v>4</v>
      </c>
      <c r="H2295" s="1">
        <v>2</v>
      </c>
      <c r="I2295" s="1">
        <v>1</v>
      </c>
      <c r="J2295" s="1">
        <v>1</v>
      </c>
      <c r="K2295" s="1">
        <v>1</v>
      </c>
      <c r="M2295" s="1">
        <v>600</v>
      </c>
      <c r="N2295" s="1">
        <v>573.67999999999995</v>
      </c>
      <c r="O2295" s="1">
        <v>850.83999999999901</v>
      </c>
      <c r="P2295" s="1">
        <v>277.166666666666</v>
      </c>
      <c r="Q2295" s="1" t="s">
        <v>42</v>
      </c>
      <c r="S2295" s="1" t="s">
        <v>42</v>
      </c>
      <c r="T2295" s="1" t="s">
        <v>203</v>
      </c>
      <c r="V2295" s="5">
        <v>43673</v>
      </c>
      <c r="W2295" s="5">
        <v>42187</v>
      </c>
      <c r="X2295" s="1">
        <v>555900</v>
      </c>
      <c r="Y2295" s="1">
        <v>555900</v>
      </c>
      <c r="Z2295" s="5">
        <v>42187</v>
      </c>
      <c r="AA2295" s="1">
        <v>555900</v>
      </c>
      <c r="AB2295" s="1" t="s">
        <v>204</v>
      </c>
      <c r="AC2295" s="5">
        <v>42578</v>
      </c>
      <c r="AF2295" s="1">
        <v>10029</v>
      </c>
      <c r="AI2295" s="1" t="s">
        <v>1799</v>
      </c>
      <c r="AJ2295" s="1">
        <v>2008</v>
      </c>
      <c r="AK2295" s="1" t="s">
        <v>87</v>
      </c>
      <c r="AL2295" s="1">
        <v>76</v>
      </c>
    </row>
    <row r="2296" spans="1:38" x14ac:dyDescent="0.2">
      <c r="A2296" s="2" t="str">
        <f>HYPERLINK("https://www.compass.com/listing/1810-3rd-avenue-unit-b3c-manhattan-ny-10029/4852307236489272417/","1810 3rd Ave, Unit B3C")</f>
        <v>1810 3rd Ave, Unit B3C</v>
      </c>
      <c r="B2296" s="2" t="str">
        <f t="shared" si="377"/>
        <v>The Art House Condominiums</v>
      </c>
      <c r="C2296" s="1" t="s">
        <v>82</v>
      </c>
      <c r="D2296" s="1" t="s">
        <v>41</v>
      </c>
      <c r="E2296" s="3">
        <v>590000</v>
      </c>
      <c r="G2296" s="1">
        <v>4</v>
      </c>
      <c r="H2296" s="1">
        <v>2</v>
      </c>
      <c r="I2296" s="1">
        <v>1</v>
      </c>
      <c r="J2296" s="1">
        <v>1</v>
      </c>
      <c r="K2296" s="1">
        <v>1</v>
      </c>
      <c r="N2296" s="1">
        <v>573.67999999999995</v>
      </c>
      <c r="O2296" s="1">
        <v>850.83999999999901</v>
      </c>
      <c r="P2296" s="1">
        <v>277.166666666666</v>
      </c>
      <c r="Q2296" s="1" t="s">
        <v>42</v>
      </c>
      <c r="S2296" s="1" t="s">
        <v>42</v>
      </c>
      <c r="T2296" s="1" t="s">
        <v>203</v>
      </c>
      <c r="U2296" s="1">
        <v>27</v>
      </c>
      <c r="V2296" s="5">
        <v>43631</v>
      </c>
      <c r="W2296" s="5">
        <v>42579</v>
      </c>
      <c r="X2296" s="1">
        <v>590000</v>
      </c>
      <c r="Y2296" s="1">
        <v>590000</v>
      </c>
      <c r="Z2296" s="5">
        <v>42606</v>
      </c>
      <c r="AA2296" s="1">
        <v>590000</v>
      </c>
      <c r="AB2296" s="1" t="s">
        <v>204</v>
      </c>
      <c r="AC2296" s="5">
        <v>42668</v>
      </c>
      <c r="AF2296" s="1">
        <v>10029</v>
      </c>
      <c r="AI2296" s="1" t="s">
        <v>154</v>
      </c>
      <c r="AJ2296" s="1">
        <v>2008</v>
      </c>
      <c r="AK2296" s="1" t="s">
        <v>87</v>
      </c>
      <c r="AL2296" s="1">
        <v>76</v>
      </c>
    </row>
    <row r="2297" spans="1:38" x14ac:dyDescent="0.2">
      <c r="A2297" s="2" t="str">
        <f>HYPERLINK("https://www.compass.com/listing/1810-3rd-avenue-unit-b6c-manhattan-ny-10029/803460703469704225/","1810 3rd Ave, Unit B6C")</f>
        <v>1810 3rd Ave, Unit B6C</v>
      </c>
      <c r="B2297" s="2" t="str">
        <f t="shared" si="377"/>
        <v>The Art House Condominiums</v>
      </c>
      <c r="C2297" s="1" t="s">
        <v>82</v>
      </c>
      <c r="D2297" s="1" t="s">
        <v>41</v>
      </c>
      <c r="E2297" s="3">
        <v>585000</v>
      </c>
      <c r="F2297" s="1">
        <v>986.50927487352396</v>
      </c>
      <c r="G2297" s="1">
        <v>4</v>
      </c>
      <c r="H2297" s="1">
        <v>2</v>
      </c>
      <c r="I2297" s="1">
        <v>1</v>
      </c>
      <c r="J2297" s="1">
        <v>1</v>
      </c>
      <c r="K2297" s="1">
        <v>1</v>
      </c>
      <c r="M2297" s="1">
        <v>593</v>
      </c>
      <c r="N2297" s="1">
        <v>574</v>
      </c>
      <c r="O2297" s="1">
        <v>852</v>
      </c>
      <c r="P2297" s="1">
        <v>278</v>
      </c>
      <c r="Q2297" s="1" t="s">
        <v>42</v>
      </c>
      <c r="S2297" s="1" t="s">
        <v>42</v>
      </c>
      <c r="T2297" s="1" t="s">
        <v>203</v>
      </c>
      <c r="U2297" s="1">
        <v>40</v>
      </c>
      <c r="V2297" s="5">
        <v>42606</v>
      </c>
      <c r="W2297" s="5">
        <v>42508</v>
      </c>
      <c r="X2297" s="1">
        <v>590000</v>
      </c>
      <c r="Y2297" s="1">
        <v>590000</v>
      </c>
      <c r="Z2297" s="5">
        <v>42548</v>
      </c>
      <c r="AA2297" s="1">
        <v>585000</v>
      </c>
      <c r="AB2297" s="1" t="s">
        <v>204</v>
      </c>
      <c r="AC2297" s="5">
        <v>42586</v>
      </c>
      <c r="AF2297" s="1">
        <v>10029</v>
      </c>
      <c r="AI2297" s="1" t="s">
        <v>154</v>
      </c>
      <c r="AJ2297" s="1">
        <v>2008</v>
      </c>
      <c r="AK2297" s="1" t="s">
        <v>87</v>
      </c>
      <c r="AL2297" s="1">
        <v>76</v>
      </c>
    </row>
    <row r="2298" spans="1:38" x14ac:dyDescent="0.2">
      <c r="A2298" s="2" t="str">
        <f>HYPERLINK("https://www.compass.com/listing/1810-3rd-avenue-unit-a4b-manhattan-ny-10029/4852260585921841713/","1810 3rd Ave, Unit A4B")</f>
        <v>1810 3rd Ave, Unit A4B</v>
      </c>
      <c r="B2298" s="2" t="str">
        <f t="shared" si="377"/>
        <v>The Art House Condominiums</v>
      </c>
      <c r="C2298" s="1" t="s">
        <v>82</v>
      </c>
      <c r="D2298" s="1" t="s">
        <v>41</v>
      </c>
      <c r="E2298" s="3">
        <v>580000</v>
      </c>
      <c r="F2298" s="1">
        <v>966.66666666666595</v>
      </c>
      <c r="G2298" s="1">
        <v>3</v>
      </c>
      <c r="H2298" s="1">
        <v>1</v>
      </c>
      <c r="I2298" s="1">
        <v>1</v>
      </c>
      <c r="J2298" s="1">
        <v>1</v>
      </c>
      <c r="K2298" s="1">
        <v>1</v>
      </c>
      <c r="M2298" s="1">
        <v>600</v>
      </c>
      <c r="N2298" s="1">
        <v>604.64</v>
      </c>
      <c r="O2298" s="1">
        <v>896.76</v>
      </c>
      <c r="P2298" s="1">
        <v>292.08333333333297</v>
      </c>
      <c r="Q2298" s="1" t="s">
        <v>42</v>
      </c>
      <c r="S2298" s="1" t="s">
        <v>42</v>
      </c>
      <c r="T2298" s="1" t="s">
        <v>203</v>
      </c>
      <c r="U2298" s="1">
        <v>27</v>
      </c>
      <c r="V2298" s="5">
        <v>43673</v>
      </c>
      <c r="W2298" s="5">
        <v>42404</v>
      </c>
      <c r="X2298" s="1">
        <v>580000</v>
      </c>
      <c r="Y2298" s="1">
        <v>580000</v>
      </c>
      <c r="Z2298" s="5">
        <v>42431</v>
      </c>
      <c r="AA2298" s="1">
        <v>580000</v>
      </c>
      <c r="AB2298" s="1" t="s">
        <v>204</v>
      </c>
      <c r="AC2298" s="5">
        <v>42578</v>
      </c>
      <c r="AF2298" s="1">
        <v>10029</v>
      </c>
      <c r="AI2298" s="1" t="s">
        <v>1800</v>
      </c>
      <c r="AJ2298" s="1">
        <v>2008</v>
      </c>
      <c r="AK2298" s="1" t="s">
        <v>87</v>
      </c>
      <c r="AL2298" s="1">
        <v>76</v>
      </c>
    </row>
    <row r="2299" spans="1:38" x14ac:dyDescent="0.2">
      <c r="A2299" s="2" t="str">
        <f>HYPERLINK("https://www.compass.com/listing/1810-3rd-avenue-unit-a5b-manhattan-ny-10029/4852265518867951601/","1810 3rd Ave, Unit A5B")</f>
        <v>1810 3rd Ave, Unit A5B</v>
      </c>
      <c r="B2299" s="2" t="str">
        <f t="shared" si="377"/>
        <v>The Art House Condominiums</v>
      </c>
      <c r="C2299" s="1" t="s">
        <v>82</v>
      </c>
      <c r="D2299" s="1" t="s">
        <v>41</v>
      </c>
      <c r="E2299" s="3">
        <v>575000</v>
      </c>
      <c r="F2299" s="1">
        <v>958.33333333333303</v>
      </c>
      <c r="G2299" s="1">
        <v>3</v>
      </c>
      <c r="H2299" s="1">
        <v>1</v>
      </c>
      <c r="I2299" s="1">
        <v>1</v>
      </c>
      <c r="J2299" s="1">
        <v>1</v>
      </c>
      <c r="K2299" s="1">
        <v>1</v>
      </c>
      <c r="M2299" s="1">
        <v>600</v>
      </c>
      <c r="N2299" s="1">
        <v>605</v>
      </c>
      <c r="O2299" s="1">
        <v>898</v>
      </c>
      <c r="P2299" s="1">
        <v>293</v>
      </c>
      <c r="Q2299" s="1" t="s">
        <v>42</v>
      </c>
      <c r="S2299" s="1" t="s">
        <v>42</v>
      </c>
      <c r="T2299" s="1" t="s">
        <v>203</v>
      </c>
      <c r="U2299" s="1">
        <v>167</v>
      </c>
      <c r="V2299" s="5">
        <v>43668</v>
      </c>
      <c r="W2299" s="5">
        <v>42606</v>
      </c>
      <c r="X2299" s="1">
        <v>600000</v>
      </c>
      <c r="Y2299" s="1">
        <v>575000</v>
      </c>
      <c r="Z2299" s="5">
        <v>42773</v>
      </c>
      <c r="AA2299" s="1">
        <v>575000</v>
      </c>
      <c r="AB2299" s="1" t="s">
        <v>204</v>
      </c>
      <c r="AC2299" s="5">
        <v>42829</v>
      </c>
      <c r="AF2299" s="1">
        <v>10029</v>
      </c>
      <c r="AI2299" s="1" t="s">
        <v>1801</v>
      </c>
      <c r="AJ2299" s="1">
        <v>2008</v>
      </c>
      <c r="AK2299" s="1" t="s">
        <v>87</v>
      </c>
      <c r="AL2299" s="1">
        <v>76</v>
      </c>
    </row>
    <row r="2300" spans="1:38" x14ac:dyDescent="0.2">
      <c r="A2300" s="2" t="str">
        <f>HYPERLINK("https://www.compass.com/listing/1810-3rd-avenue-unit-a8a-manhattan-ny-10029/4852272856249147201/","1810 3rd Ave, Unit A8A")</f>
        <v>1810 3rd Ave, Unit A8A</v>
      </c>
      <c r="B2300" s="2" t="str">
        <f t="shared" si="377"/>
        <v>The Art House Condominiums</v>
      </c>
      <c r="C2300" s="1" t="s">
        <v>82</v>
      </c>
      <c r="D2300" s="1" t="s">
        <v>41</v>
      </c>
      <c r="E2300" s="3">
        <v>590000</v>
      </c>
      <c r="F2300" s="1">
        <v>983.33333333333303</v>
      </c>
      <c r="G2300" s="1">
        <v>3</v>
      </c>
      <c r="H2300" s="1">
        <v>1</v>
      </c>
      <c r="I2300" s="1">
        <v>1</v>
      </c>
      <c r="J2300" s="1">
        <v>1</v>
      </c>
      <c r="K2300" s="1">
        <v>1</v>
      </c>
      <c r="M2300" s="1">
        <v>600</v>
      </c>
      <c r="N2300" s="1">
        <v>605</v>
      </c>
      <c r="O2300" s="1">
        <v>898</v>
      </c>
      <c r="P2300" s="1">
        <v>293</v>
      </c>
      <c r="Q2300" s="1" t="s">
        <v>42</v>
      </c>
      <c r="S2300" s="1" t="s">
        <v>42</v>
      </c>
      <c r="T2300" s="1" t="s">
        <v>203</v>
      </c>
      <c r="U2300" s="1">
        <v>28</v>
      </c>
      <c r="V2300" s="5">
        <v>43631</v>
      </c>
      <c r="W2300" s="5">
        <v>42508</v>
      </c>
      <c r="X2300" s="1">
        <v>590000</v>
      </c>
      <c r="Y2300" s="1">
        <v>590000</v>
      </c>
      <c r="Z2300" s="5">
        <v>42536</v>
      </c>
      <c r="AA2300" s="1">
        <v>590000</v>
      </c>
      <c r="AB2300" s="1" t="s">
        <v>204</v>
      </c>
      <c r="AC2300" s="5">
        <v>42577</v>
      </c>
      <c r="AF2300" s="1">
        <v>10029</v>
      </c>
      <c r="AI2300" s="1" t="s">
        <v>1801</v>
      </c>
      <c r="AJ2300" s="1">
        <v>2008</v>
      </c>
      <c r="AK2300" s="1" t="s">
        <v>87</v>
      </c>
      <c r="AL2300" s="1">
        <v>76</v>
      </c>
    </row>
    <row r="2301" spans="1:38" x14ac:dyDescent="0.2">
      <c r="A2301" s="2" t="str">
        <f>HYPERLINK("https://www.compass.com/listing/1810-3rd-avenue-unit-a6a-manhattan-ny-10029/4852272895960821537/","1810 3rd Ave, Unit A6A")</f>
        <v>1810 3rd Ave, Unit A6A</v>
      </c>
      <c r="B2301" s="2" t="str">
        <f t="shared" si="377"/>
        <v>The Art House Condominiums</v>
      </c>
      <c r="C2301" s="1" t="s">
        <v>82</v>
      </c>
      <c r="D2301" s="1" t="s">
        <v>41</v>
      </c>
      <c r="E2301" s="3">
        <v>575000</v>
      </c>
      <c r="F2301" s="1">
        <v>958.33333333333303</v>
      </c>
      <c r="G2301" s="1">
        <v>3</v>
      </c>
      <c r="H2301" s="1">
        <v>1</v>
      </c>
      <c r="I2301" s="1">
        <v>1</v>
      </c>
      <c r="J2301" s="1">
        <v>1</v>
      </c>
      <c r="K2301" s="1">
        <v>1</v>
      </c>
      <c r="M2301" s="1">
        <v>600</v>
      </c>
      <c r="N2301" s="1">
        <v>605</v>
      </c>
      <c r="O2301" s="1">
        <v>898</v>
      </c>
      <c r="P2301" s="1">
        <v>293</v>
      </c>
      <c r="Q2301" s="1" t="s">
        <v>42</v>
      </c>
      <c r="S2301" s="1" t="s">
        <v>42</v>
      </c>
      <c r="T2301" s="1" t="s">
        <v>203</v>
      </c>
      <c r="U2301" s="1">
        <v>155</v>
      </c>
      <c r="V2301" s="5">
        <v>43664</v>
      </c>
      <c r="W2301" s="5">
        <v>42508</v>
      </c>
      <c r="X2301" s="1">
        <v>575000</v>
      </c>
      <c r="Y2301" s="1">
        <v>575000</v>
      </c>
      <c r="Z2301" s="5">
        <v>42663</v>
      </c>
      <c r="AA2301" s="1">
        <v>575000</v>
      </c>
      <c r="AB2301" s="1" t="s">
        <v>204</v>
      </c>
      <c r="AC2301" s="5">
        <v>42720</v>
      </c>
      <c r="AF2301" s="1">
        <v>10029</v>
      </c>
      <c r="AI2301" s="1" t="s">
        <v>1801</v>
      </c>
      <c r="AJ2301" s="1">
        <v>2008</v>
      </c>
      <c r="AK2301" s="1" t="s">
        <v>87</v>
      </c>
      <c r="AL2301" s="1">
        <v>76</v>
      </c>
    </row>
    <row r="2302" spans="1:38" x14ac:dyDescent="0.2">
      <c r="A2302" s="2" t="str">
        <f>HYPERLINK("https://www.compass.com/listing/1810-3rd-avenue-unit-a3a-manhattan-ny-10029/4852288237156179249/","1810 3rd Ave, Unit A3A")</f>
        <v>1810 3rd Ave, Unit A3A</v>
      </c>
      <c r="B2302" s="2" t="str">
        <f t="shared" si="377"/>
        <v>The Art House Condominiums</v>
      </c>
      <c r="C2302" s="1" t="s">
        <v>82</v>
      </c>
      <c r="D2302" s="1" t="s">
        <v>41</v>
      </c>
      <c r="E2302" s="3">
        <v>565000</v>
      </c>
      <c r="F2302" s="1">
        <v>941.66666666666595</v>
      </c>
      <c r="G2302" s="1">
        <v>3</v>
      </c>
      <c r="H2302" s="1">
        <v>1</v>
      </c>
      <c r="I2302" s="1">
        <v>1</v>
      </c>
      <c r="J2302" s="1">
        <v>1</v>
      </c>
      <c r="K2302" s="1">
        <v>1</v>
      </c>
      <c r="M2302" s="1">
        <v>600</v>
      </c>
      <c r="N2302" s="1">
        <v>604.64</v>
      </c>
      <c r="O2302" s="1">
        <v>896.76</v>
      </c>
      <c r="P2302" s="1">
        <v>292.08333333333297</v>
      </c>
      <c r="Q2302" s="1" t="s">
        <v>42</v>
      </c>
      <c r="S2302" s="1" t="s">
        <v>42</v>
      </c>
      <c r="T2302" s="1" t="s">
        <v>203</v>
      </c>
      <c r="U2302" s="1">
        <v>133</v>
      </c>
      <c r="V2302" s="5">
        <v>43677</v>
      </c>
      <c r="W2302" s="5">
        <v>42297</v>
      </c>
      <c r="X2302" s="1">
        <v>596700</v>
      </c>
      <c r="Y2302" s="1">
        <v>565000</v>
      </c>
      <c r="Z2302" s="5">
        <v>42430</v>
      </c>
      <c r="AA2302" s="1">
        <v>565000</v>
      </c>
      <c r="AB2302" s="1" t="s">
        <v>204</v>
      </c>
      <c r="AC2302" s="5">
        <v>42530</v>
      </c>
      <c r="AF2302" s="1">
        <v>10029</v>
      </c>
      <c r="AI2302" s="1" t="s">
        <v>1800</v>
      </c>
      <c r="AJ2302" s="1">
        <v>2008</v>
      </c>
      <c r="AK2302" s="1" t="s">
        <v>87</v>
      </c>
      <c r="AL2302" s="1">
        <v>76</v>
      </c>
    </row>
    <row r="2303" spans="1:38" x14ac:dyDescent="0.2">
      <c r="A2303" s="2" t="str">
        <f>HYPERLINK("https://www.compass.com/listing/1810-3rd-avenue-unit-a10c-manhattan-ny-10029/4852288541176103537/","1810 3rd Ave, Unit A10C")</f>
        <v>1810 3rd Ave, Unit A10C</v>
      </c>
      <c r="B2303" s="2" t="str">
        <f t="shared" si="377"/>
        <v>The Art House Condominiums</v>
      </c>
      <c r="C2303" s="1" t="s">
        <v>82</v>
      </c>
      <c r="D2303" s="1" t="s">
        <v>41</v>
      </c>
      <c r="E2303" s="3">
        <v>585000</v>
      </c>
      <c r="F2303" s="1">
        <v>1065.5737704917999</v>
      </c>
      <c r="G2303" s="1">
        <v>3</v>
      </c>
      <c r="H2303" s="1">
        <v>1</v>
      </c>
      <c r="I2303" s="1">
        <v>1</v>
      </c>
      <c r="J2303" s="1">
        <v>1</v>
      </c>
      <c r="K2303" s="1">
        <v>1</v>
      </c>
      <c r="M2303" s="1">
        <v>549</v>
      </c>
      <c r="N2303" s="1">
        <v>576</v>
      </c>
      <c r="O2303" s="1">
        <v>855</v>
      </c>
      <c r="P2303" s="1">
        <v>279</v>
      </c>
      <c r="Q2303" s="1" t="s">
        <v>42</v>
      </c>
      <c r="S2303" s="1" t="s">
        <v>42</v>
      </c>
      <c r="T2303" s="1" t="s">
        <v>203</v>
      </c>
      <c r="U2303" s="1">
        <v>127</v>
      </c>
      <c r="V2303" s="5">
        <v>43668</v>
      </c>
      <c r="W2303" s="5">
        <v>42671</v>
      </c>
      <c r="X2303" s="1">
        <v>585000</v>
      </c>
      <c r="Y2303" s="1">
        <v>585000</v>
      </c>
      <c r="Z2303" s="5">
        <v>42798</v>
      </c>
      <c r="AA2303" s="1">
        <v>585000</v>
      </c>
      <c r="AB2303" s="1" t="s">
        <v>204</v>
      </c>
      <c r="AC2303" s="5">
        <v>42858</v>
      </c>
      <c r="AF2303" s="1">
        <v>10029</v>
      </c>
      <c r="AI2303" s="1" t="s">
        <v>154</v>
      </c>
      <c r="AJ2303" s="1">
        <v>2008</v>
      </c>
      <c r="AK2303" s="1" t="s">
        <v>87</v>
      </c>
      <c r="AL2303" s="1">
        <v>76</v>
      </c>
    </row>
    <row r="2304" spans="1:38" x14ac:dyDescent="0.2">
      <c r="A2304" s="2" t="str">
        <f>HYPERLINK("https://www.compass.com/listing/1810-3rd-avenue-unit-a10d-manhattan-ny-10029/4852309804619675937/","1810 3rd Ave, Unit A10D")</f>
        <v>1810 3rd Ave, Unit A10D</v>
      </c>
      <c r="B2304" s="2" t="str">
        <f t="shared" si="377"/>
        <v>The Art House Condominiums</v>
      </c>
      <c r="C2304" s="1" t="s">
        <v>82</v>
      </c>
      <c r="D2304" s="1" t="s">
        <v>41</v>
      </c>
      <c r="E2304" s="3">
        <v>590000</v>
      </c>
      <c r="F2304" s="1">
        <v>1059.24596050269</v>
      </c>
      <c r="G2304" s="1">
        <v>3</v>
      </c>
      <c r="H2304" s="1">
        <v>1</v>
      </c>
      <c r="I2304" s="1">
        <v>1</v>
      </c>
      <c r="J2304" s="1">
        <v>1</v>
      </c>
      <c r="K2304" s="1">
        <v>1</v>
      </c>
      <c r="M2304" s="1">
        <v>557</v>
      </c>
      <c r="N2304" s="1">
        <v>539</v>
      </c>
      <c r="O2304" s="1">
        <v>800</v>
      </c>
      <c r="P2304" s="1">
        <v>261</v>
      </c>
      <c r="Q2304" s="1" t="s">
        <v>42</v>
      </c>
      <c r="S2304" s="1" t="s">
        <v>42</v>
      </c>
      <c r="T2304" s="1" t="s">
        <v>203</v>
      </c>
      <c r="U2304" s="1">
        <v>89</v>
      </c>
      <c r="V2304" s="5">
        <v>43641</v>
      </c>
      <c r="W2304" s="5">
        <v>42671</v>
      </c>
      <c r="X2304" s="1">
        <v>590000</v>
      </c>
      <c r="Y2304" s="1">
        <v>590000</v>
      </c>
      <c r="Z2304" s="5">
        <v>42760</v>
      </c>
      <c r="AA2304" s="1">
        <v>590000</v>
      </c>
      <c r="AB2304" s="1" t="s">
        <v>204</v>
      </c>
      <c r="AC2304" s="5">
        <v>42808</v>
      </c>
      <c r="AF2304" s="1">
        <v>10029</v>
      </c>
      <c r="AI2304" s="1" t="s">
        <v>154</v>
      </c>
      <c r="AJ2304" s="1">
        <v>2008</v>
      </c>
      <c r="AK2304" s="1" t="s">
        <v>87</v>
      </c>
      <c r="AL2304" s="1">
        <v>76</v>
      </c>
    </row>
    <row r="2305" spans="1:38" x14ac:dyDescent="0.2">
      <c r="A2305" s="2" t="str">
        <f>HYPERLINK("https://www.compass.com/listing/1810-3rd-avenue-unit-a11c-manhattan-ny-10029/801630585701013945/","1810 3rd Ave, Unit A11C")</f>
        <v>1810 3rd Ave, Unit A11C</v>
      </c>
      <c r="B2305" s="2" t="str">
        <f t="shared" si="377"/>
        <v>The Art House Condominiums</v>
      </c>
      <c r="C2305" s="1" t="s">
        <v>82</v>
      </c>
      <c r="D2305" s="1" t="s">
        <v>41</v>
      </c>
      <c r="E2305" s="3">
        <v>575000</v>
      </c>
      <c r="F2305" s="1">
        <v>1047.3588342440801</v>
      </c>
      <c r="G2305" s="1">
        <v>3</v>
      </c>
      <c r="H2305" s="1">
        <v>1</v>
      </c>
      <c r="I2305" s="1">
        <v>1</v>
      </c>
      <c r="J2305" s="1">
        <v>1</v>
      </c>
      <c r="K2305" s="1">
        <v>1</v>
      </c>
      <c r="M2305" s="1">
        <v>549</v>
      </c>
      <c r="N2305" s="1">
        <v>532</v>
      </c>
      <c r="O2305" s="1">
        <v>789</v>
      </c>
      <c r="P2305" s="1">
        <v>257</v>
      </c>
      <c r="Q2305" s="1" t="s">
        <v>42</v>
      </c>
      <c r="S2305" s="1" t="s">
        <v>42</v>
      </c>
      <c r="T2305" s="1" t="s">
        <v>203</v>
      </c>
      <c r="U2305" s="1">
        <v>59</v>
      </c>
      <c r="V2305" s="5">
        <v>42682</v>
      </c>
      <c r="W2305" s="5">
        <v>42507</v>
      </c>
      <c r="X2305" s="1">
        <v>585000</v>
      </c>
      <c r="Y2305" s="1">
        <v>585000</v>
      </c>
      <c r="Z2305" s="5">
        <v>42567</v>
      </c>
      <c r="AA2305" s="1">
        <v>575000</v>
      </c>
      <c r="AB2305" s="1" t="s">
        <v>204</v>
      </c>
      <c r="AC2305" s="5">
        <v>42579</v>
      </c>
      <c r="AF2305" s="1">
        <v>10029</v>
      </c>
      <c r="AI2305" s="1" t="s">
        <v>154</v>
      </c>
      <c r="AJ2305" s="1">
        <v>2008</v>
      </c>
      <c r="AK2305" s="1" t="s">
        <v>87</v>
      </c>
      <c r="AL2305" s="1">
        <v>76</v>
      </c>
    </row>
    <row r="2306" spans="1:38" x14ac:dyDescent="0.2">
      <c r="A2306" s="2" t="str">
        <f>HYPERLINK("https://www.compass.com/listing/1810-3rd-avenue-unit-a8a-manhattan-ny-10029/803332570796101217/","1810 3rd Ave, Unit A8A")</f>
        <v>1810 3rd Ave, Unit A8A</v>
      </c>
      <c r="B2306" s="2" t="str">
        <f t="shared" si="377"/>
        <v>The Art House Condominiums</v>
      </c>
      <c r="C2306" s="1" t="s">
        <v>82</v>
      </c>
      <c r="D2306" s="1" t="s">
        <v>41</v>
      </c>
      <c r="E2306" s="3">
        <v>566000</v>
      </c>
      <c r="F2306" s="1">
        <v>943.33333333333303</v>
      </c>
      <c r="G2306" s="1">
        <v>3</v>
      </c>
      <c r="H2306" s="1">
        <v>1</v>
      </c>
      <c r="I2306" s="1">
        <v>1</v>
      </c>
      <c r="J2306" s="1">
        <v>1</v>
      </c>
      <c r="K2306" s="1">
        <v>1</v>
      </c>
      <c r="M2306" s="1">
        <v>600</v>
      </c>
      <c r="N2306" s="1">
        <v>604.64</v>
      </c>
      <c r="O2306" s="1">
        <v>896.76</v>
      </c>
      <c r="P2306" s="1">
        <v>292.08333333333297</v>
      </c>
      <c r="Q2306" s="1" t="s">
        <v>42</v>
      </c>
      <c r="S2306" s="1" t="s">
        <v>42</v>
      </c>
      <c r="T2306" s="1" t="s">
        <v>203</v>
      </c>
      <c r="U2306" s="1">
        <v>104</v>
      </c>
      <c r="V2306" s="5">
        <v>42584</v>
      </c>
      <c r="W2306" s="5">
        <v>42403</v>
      </c>
      <c r="X2306" s="1">
        <v>625000</v>
      </c>
      <c r="Y2306" s="1">
        <v>625000</v>
      </c>
      <c r="AA2306" s="1">
        <v>566000</v>
      </c>
      <c r="AB2306" s="1" t="s">
        <v>204</v>
      </c>
      <c r="AC2306" s="5">
        <v>42569</v>
      </c>
      <c r="AF2306" s="1">
        <v>10029</v>
      </c>
      <c r="AI2306" s="1" t="s">
        <v>154</v>
      </c>
      <c r="AJ2306" s="1">
        <v>2008</v>
      </c>
      <c r="AK2306" s="1" t="s">
        <v>87</v>
      </c>
      <c r="AL2306" s="1">
        <v>76</v>
      </c>
    </row>
    <row r="2307" spans="1:38" x14ac:dyDescent="0.2">
      <c r="A2307" s="2" t="str">
        <f>HYPERLINK("https://www.compass.com/listing/1810-3rd-avenue-unit-a8b-manhattan-ny-10029/803344523782378721/","1810 3rd Ave, Unit A8B")</f>
        <v>1810 3rd Ave, Unit A8B</v>
      </c>
      <c r="B2307" s="2" t="str">
        <f t="shared" si="377"/>
        <v>The Art House Condominiums</v>
      </c>
      <c r="C2307" s="1" t="s">
        <v>82</v>
      </c>
      <c r="D2307" s="1" t="s">
        <v>41</v>
      </c>
      <c r="E2307" s="3">
        <v>585292</v>
      </c>
      <c r="F2307" s="1">
        <v>975.486666666666</v>
      </c>
      <c r="G2307" s="1">
        <v>3</v>
      </c>
      <c r="H2307" s="1">
        <v>1</v>
      </c>
      <c r="I2307" s="1">
        <v>1</v>
      </c>
      <c r="J2307" s="1">
        <v>1</v>
      </c>
      <c r="K2307" s="1">
        <v>1</v>
      </c>
      <c r="M2307" s="1">
        <v>600</v>
      </c>
      <c r="N2307" s="1">
        <v>605</v>
      </c>
      <c r="O2307" s="1">
        <v>898</v>
      </c>
      <c r="P2307" s="1">
        <v>293</v>
      </c>
      <c r="Q2307" s="1" t="s">
        <v>42</v>
      </c>
      <c r="S2307" s="1" t="s">
        <v>42</v>
      </c>
      <c r="T2307" s="1" t="s">
        <v>203</v>
      </c>
      <c r="U2307" s="1">
        <v>213</v>
      </c>
      <c r="V2307" s="5">
        <v>42773</v>
      </c>
      <c r="W2307" s="5">
        <v>42507</v>
      </c>
      <c r="X2307" s="1">
        <v>590000</v>
      </c>
      <c r="Y2307" s="1">
        <v>590000</v>
      </c>
      <c r="Z2307" s="5">
        <v>42721</v>
      </c>
      <c r="AA2307" s="1">
        <v>585292</v>
      </c>
      <c r="AB2307" s="1" t="s">
        <v>204</v>
      </c>
      <c r="AC2307" s="5">
        <v>42752</v>
      </c>
      <c r="AF2307" s="1">
        <v>10029</v>
      </c>
      <c r="AI2307" s="1" t="s">
        <v>154</v>
      </c>
      <c r="AJ2307" s="1">
        <v>2008</v>
      </c>
      <c r="AK2307" s="1" t="s">
        <v>87</v>
      </c>
      <c r="AL2307" s="1">
        <v>76</v>
      </c>
    </row>
    <row r="2308" spans="1:38" x14ac:dyDescent="0.2">
      <c r="A2308" s="2" t="str">
        <f>HYPERLINK("https://www.compass.com/listing/1810-3rd-avenue-unit-a2b-manhattan-ny-10029/803351207028577577/","1810 3rd Ave, Unit A2B")</f>
        <v>1810 3rd Ave, Unit A2B</v>
      </c>
      <c r="B2308" s="2" t="str">
        <f t="shared" si="377"/>
        <v>The Art House Condominiums</v>
      </c>
      <c r="C2308" s="1" t="s">
        <v>82</v>
      </c>
      <c r="D2308" s="1" t="s">
        <v>41</v>
      </c>
      <c r="E2308" s="3">
        <v>545000</v>
      </c>
      <c r="F2308" s="1">
        <v>908.33333333333303</v>
      </c>
      <c r="G2308" s="1">
        <v>3</v>
      </c>
      <c r="H2308" s="1">
        <v>1</v>
      </c>
      <c r="I2308" s="1">
        <v>1</v>
      </c>
      <c r="J2308" s="1">
        <v>1</v>
      </c>
      <c r="K2308" s="1">
        <v>1</v>
      </c>
      <c r="M2308" s="1">
        <v>600</v>
      </c>
      <c r="N2308" s="1">
        <v>634</v>
      </c>
      <c r="O2308" s="1">
        <v>941</v>
      </c>
      <c r="P2308" s="1">
        <v>307</v>
      </c>
      <c r="Q2308" s="1" t="s">
        <v>42</v>
      </c>
      <c r="S2308" s="1" t="s">
        <v>42</v>
      </c>
      <c r="T2308" s="1" t="s">
        <v>203</v>
      </c>
      <c r="U2308" s="1">
        <v>40</v>
      </c>
      <c r="V2308" s="5">
        <v>42621</v>
      </c>
      <c r="W2308" s="5">
        <v>42508</v>
      </c>
      <c r="X2308" s="1">
        <v>545000</v>
      </c>
      <c r="Y2308" s="1">
        <v>545000</v>
      </c>
      <c r="Z2308" s="5">
        <v>42548</v>
      </c>
      <c r="AA2308" s="1">
        <v>545000</v>
      </c>
      <c r="AB2308" s="1" t="s">
        <v>204</v>
      </c>
      <c r="AC2308" s="5">
        <v>42615</v>
      </c>
      <c r="AF2308" s="1">
        <v>10029</v>
      </c>
      <c r="AI2308" s="1" t="s">
        <v>154</v>
      </c>
      <c r="AJ2308" s="1">
        <v>2008</v>
      </c>
      <c r="AK2308" s="1" t="s">
        <v>87</v>
      </c>
      <c r="AL2308" s="1">
        <v>76</v>
      </c>
    </row>
    <row r="2309" spans="1:38" x14ac:dyDescent="0.2">
      <c r="A2309" s="2" t="str">
        <f>HYPERLINK("https://www.compass.com/listing/1810-3rd-avenue-unit-a6b-manhattan-ny-10029/803441601896073641/","1810 3rd Ave, Unit A6B")</f>
        <v>1810 3rd Ave, Unit A6B</v>
      </c>
      <c r="B2309" s="2" t="str">
        <f t="shared" si="377"/>
        <v>The Art House Condominiums</v>
      </c>
      <c r="C2309" s="1" t="s">
        <v>82</v>
      </c>
      <c r="D2309" s="1" t="s">
        <v>41</v>
      </c>
      <c r="E2309" s="3">
        <v>560000</v>
      </c>
      <c r="F2309" s="1">
        <v>933.33333333333303</v>
      </c>
      <c r="G2309" s="1">
        <v>3</v>
      </c>
      <c r="H2309" s="1">
        <v>1</v>
      </c>
      <c r="I2309" s="1">
        <v>1</v>
      </c>
      <c r="J2309" s="1">
        <v>1</v>
      </c>
      <c r="K2309" s="1">
        <v>1</v>
      </c>
      <c r="M2309" s="1">
        <v>600</v>
      </c>
      <c r="N2309" s="1">
        <v>605</v>
      </c>
      <c r="O2309" s="1">
        <v>898</v>
      </c>
      <c r="P2309" s="1">
        <v>293</v>
      </c>
      <c r="Q2309" s="1" t="s">
        <v>42</v>
      </c>
      <c r="S2309" s="1" t="s">
        <v>42</v>
      </c>
      <c r="T2309" s="1" t="s">
        <v>203</v>
      </c>
      <c r="U2309" s="1">
        <v>69</v>
      </c>
      <c r="V2309" s="5">
        <v>42634</v>
      </c>
      <c r="W2309" s="5">
        <v>42508</v>
      </c>
      <c r="X2309" s="1">
        <v>570000</v>
      </c>
      <c r="Y2309" s="1">
        <v>570000</v>
      </c>
      <c r="Z2309" s="5">
        <v>42578</v>
      </c>
      <c r="AA2309" s="1">
        <v>560000</v>
      </c>
      <c r="AB2309" s="1" t="s">
        <v>204</v>
      </c>
      <c r="AC2309" s="5">
        <v>42611</v>
      </c>
      <c r="AF2309" s="1">
        <v>10029</v>
      </c>
      <c r="AI2309" s="1" t="s">
        <v>154</v>
      </c>
      <c r="AJ2309" s="1">
        <v>2008</v>
      </c>
      <c r="AK2309" s="1" t="s">
        <v>87</v>
      </c>
      <c r="AL2309" s="1">
        <v>76</v>
      </c>
    </row>
    <row r="2310" spans="1:38" x14ac:dyDescent="0.2">
      <c r="A2310" s="2" t="str">
        <f>HYPERLINK("https://www.compass.com/listing/1810-3rd-avenue-unit-a3b-manhattan-ny-10029/79541890323690977/","1810 3rd Ave, Unit A3B")</f>
        <v>1810 3rd Ave, Unit A3B</v>
      </c>
      <c r="B2310" s="2" t="str">
        <f t="shared" si="377"/>
        <v>The Art House Condominiums</v>
      </c>
      <c r="C2310" s="1" t="s">
        <v>82</v>
      </c>
      <c r="D2310" s="1" t="s">
        <v>41</v>
      </c>
      <c r="E2310" s="3">
        <v>550000</v>
      </c>
      <c r="F2310" s="1">
        <v>916.66666666666595</v>
      </c>
      <c r="G2310" s="1">
        <v>3</v>
      </c>
      <c r="H2310" s="1">
        <v>1</v>
      </c>
      <c r="I2310" s="1">
        <v>1</v>
      </c>
      <c r="J2310" s="1">
        <v>1</v>
      </c>
      <c r="M2310" s="1">
        <v>600</v>
      </c>
      <c r="N2310" s="1">
        <v>605</v>
      </c>
      <c r="O2310" s="1">
        <v>898</v>
      </c>
      <c r="P2310" s="1">
        <v>293</v>
      </c>
      <c r="Q2310" s="1" t="s">
        <v>42</v>
      </c>
      <c r="S2310" s="1" t="s">
        <v>42</v>
      </c>
      <c r="T2310" s="1" t="s">
        <v>203</v>
      </c>
      <c r="V2310" s="5">
        <v>42891</v>
      </c>
      <c r="AB2310" s="1" t="s">
        <v>204</v>
      </c>
      <c r="AF2310" s="1">
        <v>10029</v>
      </c>
      <c r="AI2310" s="1" t="s">
        <v>154</v>
      </c>
      <c r="AJ2310" s="1">
        <v>2008</v>
      </c>
      <c r="AK2310" s="1" t="s">
        <v>87</v>
      </c>
      <c r="AL2310" s="1">
        <v>76</v>
      </c>
    </row>
    <row r="2311" spans="1:38" x14ac:dyDescent="0.2">
      <c r="A2311" s="2" t="str">
        <f>HYPERLINK("https://www.compass.com/listing/1810-3rd-avenue-unit-a3b-manhattan-ny-10029/4852274104893441585/","1810 3rd Ave, Unit A3B")</f>
        <v>1810 3rd Ave, Unit A3B</v>
      </c>
      <c r="B2311" s="2" t="str">
        <f t="shared" si="377"/>
        <v>The Art House Condominiums</v>
      </c>
      <c r="C2311" s="1" t="s">
        <v>82</v>
      </c>
      <c r="D2311" s="1" t="s">
        <v>41</v>
      </c>
      <c r="E2311" s="3">
        <v>550000</v>
      </c>
      <c r="F2311" s="1">
        <v>916.66666666666595</v>
      </c>
      <c r="G2311" s="1">
        <v>3</v>
      </c>
      <c r="H2311" s="1">
        <v>1</v>
      </c>
      <c r="I2311" s="1">
        <v>1</v>
      </c>
      <c r="J2311" s="1">
        <v>1</v>
      </c>
      <c r="K2311" s="1">
        <v>1</v>
      </c>
      <c r="M2311" s="1">
        <v>600</v>
      </c>
      <c r="N2311" s="1">
        <v>605</v>
      </c>
      <c r="O2311" s="1">
        <v>898</v>
      </c>
      <c r="P2311" s="1">
        <v>293</v>
      </c>
      <c r="Q2311" s="1" t="s">
        <v>42</v>
      </c>
      <c r="S2311" s="1" t="s">
        <v>42</v>
      </c>
      <c r="T2311" s="1" t="s">
        <v>203</v>
      </c>
      <c r="U2311" s="1">
        <v>311</v>
      </c>
      <c r="V2311" s="5">
        <v>43631</v>
      </c>
      <c r="W2311" s="5">
        <v>42508</v>
      </c>
      <c r="X2311" s="1">
        <v>550000</v>
      </c>
      <c r="Y2311" s="1">
        <v>550000</v>
      </c>
      <c r="Z2311" s="5">
        <v>42819</v>
      </c>
      <c r="AA2311" s="1">
        <v>550000</v>
      </c>
      <c r="AB2311" s="1" t="s">
        <v>204</v>
      </c>
      <c r="AC2311" s="5">
        <v>42873</v>
      </c>
      <c r="AF2311" s="1">
        <v>10029</v>
      </c>
      <c r="AI2311" s="1" t="s">
        <v>154</v>
      </c>
      <c r="AJ2311" s="1">
        <v>2008</v>
      </c>
      <c r="AK2311" s="1" t="s">
        <v>87</v>
      </c>
      <c r="AL2311" s="1">
        <v>76</v>
      </c>
    </row>
    <row r="2312" spans="1:38" x14ac:dyDescent="0.2">
      <c r="A2312" s="2" t="str">
        <f>HYPERLINK("https://www.compass.com/listing/1810-3rd-avenue-unit-a4a-manhattan-ny-10029/4852272897865035873/","1810 3rd Ave, Unit A4A")</f>
        <v>1810 3rd Ave, Unit A4A</v>
      </c>
      <c r="B2312" s="2" t="str">
        <f t="shared" si="377"/>
        <v>The Art House Condominiums</v>
      </c>
      <c r="C2312" s="1" t="s">
        <v>82</v>
      </c>
      <c r="D2312" s="1" t="s">
        <v>41</v>
      </c>
      <c r="E2312" s="3">
        <v>580000</v>
      </c>
      <c r="F2312" s="1">
        <v>966.66666666666595</v>
      </c>
      <c r="G2312" s="1">
        <v>3</v>
      </c>
      <c r="H2312" s="1">
        <v>1</v>
      </c>
      <c r="I2312" s="1">
        <v>1</v>
      </c>
      <c r="J2312" s="1">
        <v>1</v>
      </c>
      <c r="K2312" s="1">
        <v>1</v>
      </c>
      <c r="M2312" s="1">
        <v>600</v>
      </c>
      <c r="N2312" s="1">
        <v>605</v>
      </c>
      <c r="O2312" s="1">
        <v>898</v>
      </c>
      <c r="P2312" s="1">
        <v>293</v>
      </c>
      <c r="Q2312" s="1" t="s">
        <v>42</v>
      </c>
      <c r="S2312" s="1" t="s">
        <v>42</v>
      </c>
      <c r="T2312" s="1" t="s">
        <v>203</v>
      </c>
      <c r="V2312" s="5">
        <v>43663</v>
      </c>
      <c r="W2312" s="5">
        <v>42804</v>
      </c>
      <c r="X2312" s="1">
        <v>580000</v>
      </c>
      <c r="Y2312" s="1">
        <v>580000</v>
      </c>
      <c r="Z2312" s="5">
        <v>42804</v>
      </c>
      <c r="AA2312" s="1">
        <v>580000</v>
      </c>
      <c r="AB2312" s="1" t="s">
        <v>204</v>
      </c>
      <c r="AC2312" s="5">
        <v>42873</v>
      </c>
      <c r="AF2312" s="1">
        <v>10029</v>
      </c>
      <c r="AI2312" s="1" t="s">
        <v>1801</v>
      </c>
      <c r="AJ2312" s="1">
        <v>2008</v>
      </c>
      <c r="AK2312" s="1" t="s">
        <v>87</v>
      </c>
      <c r="AL2312" s="1">
        <v>76</v>
      </c>
    </row>
    <row r="2313" spans="1:38" x14ac:dyDescent="0.2">
      <c r="A2313" s="2" t="str">
        <f>HYPERLINK("https://www.compass.com/listing/1399-park-avenue-unit-6g-manhattan-ny-10029/354991324299312801/","1399 Park Ave, Unit 6G")</f>
        <v>1399 Park Ave, Unit 6G</v>
      </c>
      <c r="B2313" s="2" t="str">
        <f>HYPERLINK("https://www.compass.com/building/1399-park-manhattan-ny/281988559521557189/","1399 Park")</f>
        <v>1399 Park</v>
      </c>
      <c r="C2313" s="1" t="s">
        <v>82</v>
      </c>
      <c r="D2313" s="1" t="s">
        <v>41</v>
      </c>
      <c r="E2313" s="3">
        <v>585000</v>
      </c>
      <c r="F2313" s="1">
        <v>1118.54684512428</v>
      </c>
      <c r="G2313" s="1">
        <v>2</v>
      </c>
      <c r="H2313" s="1" t="s">
        <v>77</v>
      </c>
      <c r="I2313" s="1">
        <v>1</v>
      </c>
      <c r="J2313" s="1">
        <v>1</v>
      </c>
      <c r="K2313" s="1">
        <v>1</v>
      </c>
      <c r="M2313" s="1">
        <v>523</v>
      </c>
      <c r="N2313" s="1">
        <v>616</v>
      </c>
      <c r="O2313" s="1">
        <v>954</v>
      </c>
      <c r="P2313" s="1">
        <v>338</v>
      </c>
      <c r="Q2313" s="1" t="s">
        <v>42</v>
      </c>
      <c r="S2313" s="1" t="s">
        <v>42</v>
      </c>
      <c r="T2313" s="1" t="s">
        <v>203</v>
      </c>
      <c r="U2313" s="1">
        <v>54</v>
      </c>
      <c r="V2313" s="5">
        <v>44156</v>
      </c>
      <c r="W2313" s="5">
        <v>43741</v>
      </c>
      <c r="X2313" s="1">
        <v>585000</v>
      </c>
      <c r="Y2313" s="1">
        <v>585000</v>
      </c>
      <c r="Z2313" s="5">
        <v>43796</v>
      </c>
      <c r="AA2313" s="1">
        <v>585000</v>
      </c>
      <c r="AB2313" s="1" t="s">
        <v>1802</v>
      </c>
      <c r="AC2313" s="5">
        <v>44153</v>
      </c>
      <c r="AF2313" s="1">
        <v>10029</v>
      </c>
      <c r="AI2313" s="1" t="s">
        <v>163</v>
      </c>
      <c r="AJ2313" s="1">
        <v>2019</v>
      </c>
      <c r="AK2313" s="1" t="s">
        <v>87</v>
      </c>
      <c r="AL2313" s="1">
        <v>72</v>
      </c>
    </row>
    <row r="2314" spans="1:38" x14ac:dyDescent="0.2">
      <c r="A2314" s="2" t="str">
        <f>HYPERLINK("https://www.compass.com/listing/1810-3rd-avenue-unit-a2a-manhattan-ny-10029/4852270588632242433/","1810 3rd Ave, Unit A2A")</f>
        <v>1810 3rd Ave, Unit A2A</v>
      </c>
      <c r="B2314" s="2" t="str">
        <f t="shared" ref="B2314:B2332" si="378">HYPERLINK("https://www.compass.com/building/the-art-house-condominiums-manhattan-ny/281989881993998229/","The Art House Condominiums")</f>
        <v>The Art House Condominiums</v>
      </c>
      <c r="C2314" s="1" t="s">
        <v>82</v>
      </c>
      <c r="D2314" s="1" t="s">
        <v>41</v>
      </c>
      <c r="E2314" s="3">
        <v>595000</v>
      </c>
      <c r="F2314" s="1">
        <v>991.66666666666595</v>
      </c>
      <c r="G2314" s="1">
        <v>3</v>
      </c>
      <c r="H2314" s="1">
        <v>2</v>
      </c>
      <c r="I2314" s="1">
        <v>1</v>
      </c>
      <c r="J2314" s="1">
        <v>1</v>
      </c>
      <c r="K2314" s="1">
        <v>1</v>
      </c>
      <c r="M2314" s="1">
        <v>600</v>
      </c>
      <c r="N2314" s="1">
        <v>634</v>
      </c>
      <c r="O2314" s="1">
        <v>941</v>
      </c>
      <c r="P2314" s="1">
        <v>307</v>
      </c>
      <c r="Q2314" s="1" t="s">
        <v>42</v>
      </c>
      <c r="S2314" s="1" t="s">
        <v>42</v>
      </c>
      <c r="T2314" s="1" t="s">
        <v>203</v>
      </c>
      <c r="U2314" s="1">
        <v>287</v>
      </c>
      <c r="V2314" s="5">
        <v>43641</v>
      </c>
      <c r="W2314" s="5">
        <v>42508</v>
      </c>
      <c r="X2314" s="1">
        <v>595000</v>
      </c>
      <c r="Y2314" s="1">
        <v>595000</v>
      </c>
      <c r="AA2314" s="1">
        <v>595000</v>
      </c>
      <c r="AB2314" s="1" t="s">
        <v>204</v>
      </c>
      <c r="AC2314" s="5">
        <v>42795</v>
      </c>
      <c r="AF2314" s="1">
        <v>10029</v>
      </c>
      <c r="AI2314" s="1" t="s">
        <v>196</v>
      </c>
      <c r="AJ2314" s="1">
        <v>2008</v>
      </c>
      <c r="AK2314" s="1" t="s">
        <v>87</v>
      </c>
      <c r="AL2314" s="1">
        <v>76</v>
      </c>
    </row>
    <row r="2315" spans="1:38" x14ac:dyDescent="0.2">
      <c r="A2315" s="2" t="str">
        <f>HYPERLINK("https://www.compass.com/listing/1810-3rd-avenue-unit-b4c-manhattan-ny-10029/4852270747982239329/","1810 3rd Ave, Unit B4C")</f>
        <v>1810 3rd Ave, Unit B4C</v>
      </c>
      <c r="B2315" s="2" t="str">
        <f t="shared" si="378"/>
        <v>The Art House Condominiums</v>
      </c>
      <c r="C2315" s="1" t="s">
        <v>82</v>
      </c>
      <c r="D2315" s="1" t="s">
        <v>41</v>
      </c>
      <c r="E2315" s="3">
        <v>615000</v>
      </c>
      <c r="F2315" s="1">
        <v>1037.0994940978001</v>
      </c>
      <c r="G2315" s="1">
        <v>4</v>
      </c>
      <c r="H2315" s="1">
        <v>2</v>
      </c>
      <c r="I2315" s="1">
        <v>1</v>
      </c>
      <c r="J2315" s="1">
        <v>1</v>
      </c>
      <c r="K2315" s="1">
        <v>1</v>
      </c>
      <c r="M2315" s="1">
        <v>593</v>
      </c>
      <c r="N2315" s="1">
        <v>573.67999999999995</v>
      </c>
      <c r="O2315" s="1">
        <v>850.83999999999901</v>
      </c>
      <c r="P2315" s="1">
        <v>277.166666666666</v>
      </c>
      <c r="Q2315" s="1" t="s">
        <v>42</v>
      </c>
      <c r="S2315" s="1" t="s">
        <v>42</v>
      </c>
      <c r="T2315" s="1" t="s">
        <v>203</v>
      </c>
      <c r="U2315" s="1">
        <v>12</v>
      </c>
      <c r="V2315" s="5">
        <v>43635</v>
      </c>
      <c r="W2315" s="5">
        <v>42168</v>
      </c>
      <c r="X2315" s="1">
        <v>615000</v>
      </c>
      <c r="Y2315" s="1">
        <v>615000</v>
      </c>
      <c r="Z2315" s="5">
        <v>42183</v>
      </c>
      <c r="AA2315" s="1">
        <v>615000</v>
      </c>
      <c r="AB2315" s="1" t="s">
        <v>204</v>
      </c>
      <c r="AC2315" s="5">
        <v>42612</v>
      </c>
      <c r="AF2315" s="1">
        <v>10029</v>
      </c>
      <c r="AI2315" s="1" t="s">
        <v>154</v>
      </c>
      <c r="AJ2315" s="1">
        <v>2008</v>
      </c>
      <c r="AK2315" s="1" t="s">
        <v>87</v>
      </c>
      <c r="AL2315" s="1">
        <v>76</v>
      </c>
    </row>
    <row r="2316" spans="1:38" x14ac:dyDescent="0.2">
      <c r="A2316" s="2" t="str">
        <f>HYPERLINK("https://www.compass.com/listing/1810-3rd-avenue-unit-a11d-manhattan-ny-10029/4852288443532714241/","1810 3rd Ave, Unit A11D")</f>
        <v>1810 3rd Ave, Unit A11D</v>
      </c>
      <c r="B2316" s="2" t="str">
        <f t="shared" si="378"/>
        <v>The Art House Condominiums</v>
      </c>
      <c r="C2316" s="1" t="s">
        <v>82</v>
      </c>
      <c r="D2316" s="1" t="s">
        <v>41</v>
      </c>
      <c r="E2316" s="3">
        <v>640000</v>
      </c>
      <c r="F2316" s="1">
        <v>1149.0125673249499</v>
      </c>
      <c r="G2316" s="1">
        <v>4</v>
      </c>
      <c r="H2316" s="1">
        <v>2</v>
      </c>
      <c r="I2316" s="1">
        <v>1</v>
      </c>
      <c r="J2316" s="1">
        <v>1</v>
      </c>
      <c r="K2316" s="1">
        <v>1</v>
      </c>
      <c r="M2316" s="1">
        <v>557</v>
      </c>
      <c r="N2316" s="1">
        <v>538.85</v>
      </c>
      <c r="O2316" s="1">
        <v>799.19</v>
      </c>
      <c r="P2316" s="1">
        <v>260.33333333333297</v>
      </c>
      <c r="Q2316" s="1" t="s">
        <v>42</v>
      </c>
      <c r="S2316" s="1" t="s">
        <v>42</v>
      </c>
      <c r="T2316" s="1" t="s">
        <v>203</v>
      </c>
      <c r="V2316" s="5">
        <v>43642</v>
      </c>
      <c r="W2316" s="5">
        <v>42259</v>
      </c>
      <c r="X2316" s="1">
        <v>640000</v>
      </c>
      <c r="Y2316" s="1">
        <v>640000</v>
      </c>
      <c r="Z2316" s="5">
        <v>42259</v>
      </c>
      <c r="AA2316" s="1">
        <v>640000</v>
      </c>
      <c r="AB2316" s="1" t="s">
        <v>204</v>
      </c>
      <c r="AC2316" s="5">
        <v>42577</v>
      </c>
      <c r="AF2316" s="1">
        <v>10029</v>
      </c>
      <c r="AI2316" s="1" t="s">
        <v>1799</v>
      </c>
      <c r="AJ2316" s="1">
        <v>2008</v>
      </c>
      <c r="AK2316" s="1" t="s">
        <v>87</v>
      </c>
      <c r="AL2316" s="1">
        <v>76</v>
      </c>
    </row>
    <row r="2317" spans="1:38" x14ac:dyDescent="0.2">
      <c r="A2317" s="2" t="str">
        <f>HYPERLINK("https://www.compass.com/listing/1810-3rd-avenue-unit-a10b-manhattan-ny-10029/4852270417311702289/","1810 3rd Ave, Unit A10B")</f>
        <v>1810 3rd Ave, Unit A10B</v>
      </c>
      <c r="B2317" s="2" t="str">
        <f t="shared" si="378"/>
        <v>The Art House Condominiums</v>
      </c>
      <c r="C2317" s="1" t="s">
        <v>82</v>
      </c>
      <c r="D2317" s="1" t="s">
        <v>41</v>
      </c>
      <c r="E2317" s="3">
        <v>610000</v>
      </c>
      <c r="F2317" s="1">
        <v>1016.66666666666</v>
      </c>
      <c r="G2317" s="1">
        <v>3</v>
      </c>
      <c r="H2317" s="1">
        <v>2</v>
      </c>
      <c r="I2317" s="1">
        <v>1</v>
      </c>
      <c r="J2317" s="1">
        <v>1</v>
      </c>
      <c r="K2317" s="1">
        <v>1</v>
      </c>
      <c r="M2317" s="1">
        <v>600</v>
      </c>
      <c r="N2317" s="1">
        <v>605</v>
      </c>
      <c r="O2317" s="1">
        <v>898</v>
      </c>
      <c r="P2317" s="1">
        <v>293</v>
      </c>
      <c r="Q2317" s="1" t="s">
        <v>42</v>
      </c>
      <c r="S2317" s="1" t="s">
        <v>42</v>
      </c>
      <c r="T2317" s="1" t="s">
        <v>203</v>
      </c>
      <c r="U2317" s="1">
        <v>252</v>
      </c>
      <c r="V2317" s="5">
        <v>43631</v>
      </c>
      <c r="W2317" s="5">
        <v>42508</v>
      </c>
      <c r="X2317" s="1">
        <v>610000</v>
      </c>
      <c r="Y2317" s="1">
        <v>610000</v>
      </c>
      <c r="Z2317" s="5">
        <v>42760</v>
      </c>
      <c r="AA2317" s="1">
        <v>610000</v>
      </c>
      <c r="AB2317" s="1" t="s">
        <v>204</v>
      </c>
      <c r="AC2317" s="5">
        <v>42822</v>
      </c>
      <c r="AF2317" s="1">
        <v>10029</v>
      </c>
      <c r="AI2317" s="1" t="s">
        <v>1801</v>
      </c>
      <c r="AJ2317" s="1">
        <v>2008</v>
      </c>
      <c r="AK2317" s="1" t="s">
        <v>87</v>
      </c>
      <c r="AL2317" s="1">
        <v>76</v>
      </c>
    </row>
    <row r="2318" spans="1:38" x14ac:dyDescent="0.2">
      <c r="A2318" s="2" t="str">
        <f>HYPERLINK("https://www.compass.com/listing/1810-3rd-avenue-unit-a9b-manhattan-ny-10029/4852272827635603521/","1810 3rd Ave, Unit A9B")</f>
        <v>1810 3rd Ave, Unit A9B</v>
      </c>
      <c r="B2318" s="2" t="str">
        <f t="shared" si="378"/>
        <v>The Art House Condominiums</v>
      </c>
      <c r="C2318" s="1" t="s">
        <v>82</v>
      </c>
      <c r="D2318" s="1" t="s">
        <v>41</v>
      </c>
      <c r="E2318" s="3">
        <v>600000</v>
      </c>
      <c r="F2318" s="1">
        <v>1000</v>
      </c>
      <c r="G2318" s="1">
        <v>3</v>
      </c>
      <c r="H2318" s="1">
        <v>2</v>
      </c>
      <c r="I2318" s="1">
        <v>1</v>
      </c>
      <c r="J2318" s="1">
        <v>1</v>
      </c>
      <c r="K2318" s="1">
        <v>1</v>
      </c>
      <c r="M2318" s="1">
        <v>600</v>
      </c>
      <c r="N2318" s="1">
        <v>605</v>
      </c>
      <c r="O2318" s="1">
        <v>898</v>
      </c>
      <c r="P2318" s="1">
        <v>293</v>
      </c>
      <c r="Q2318" s="1" t="s">
        <v>42</v>
      </c>
      <c r="S2318" s="1" t="s">
        <v>42</v>
      </c>
      <c r="T2318" s="1" t="s">
        <v>203</v>
      </c>
      <c r="U2318" s="1">
        <v>294</v>
      </c>
      <c r="V2318" s="5">
        <v>43689</v>
      </c>
      <c r="W2318" s="5">
        <v>42508</v>
      </c>
      <c r="X2318" s="1">
        <v>600000</v>
      </c>
      <c r="Y2318" s="1">
        <v>600000</v>
      </c>
      <c r="Z2318" s="5">
        <v>42802</v>
      </c>
      <c r="AA2318" s="1">
        <v>600000</v>
      </c>
      <c r="AB2318" s="1" t="s">
        <v>204</v>
      </c>
      <c r="AC2318" s="5">
        <v>42846</v>
      </c>
      <c r="AF2318" s="1">
        <v>10029</v>
      </c>
      <c r="AI2318" s="1" t="s">
        <v>1801</v>
      </c>
      <c r="AJ2318" s="1">
        <v>2008</v>
      </c>
      <c r="AK2318" s="1" t="s">
        <v>87</v>
      </c>
      <c r="AL2318" s="1">
        <v>76</v>
      </c>
    </row>
    <row r="2319" spans="1:38" x14ac:dyDescent="0.2">
      <c r="A2319" s="2" t="str">
        <f>HYPERLINK("https://www.compass.com/listing/1810-3rd-avenue-unit-b8c-manhattan-ny-10029/4852273321254861489/","1810 3rd Ave, Unit B8C")</f>
        <v>1810 3rd Ave, Unit B8C</v>
      </c>
      <c r="B2319" s="2" t="str">
        <f t="shared" si="378"/>
        <v>The Art House Condominiums</v>
      </c>
      <c r="C2319" s="1" t="s">
        <v>82</v>
      </c>
      <c r="D2319" s="1" t="s">
        <v>41</v>
      </c>
      <c r="E2319" s="3">
        <v>605000</v>
      </c>
      <c r="F2319" s="1">
        <v>1020.23608768971</v>
      </c>
      <c r="G2319" s="1">
        <v>4</v>
      </c>
      <c r="H2319" s="1">
        <v>2</v>
      </c>
      <c r="I2319" s="1">
        <v>1</v>
      </c>
      <c r="J2319" s="1">
        <v>1</v>
      </c>
      <c r="K2319" s="1">
        <v>1</v>
      </c>
      <c r="M2319" s="1">
        <v>593</v>
      </c>
      <c r="N2319" s="1">
        <v>574</v>
      </c>
      <c r="O2319" s="1">
        <v>852</v>
      </c>
      <c r="P2319" s="1">
        <v>278</v>
      </c>
      <c r="Q2319" s="1" t="s">
        <v>42</v>
      </c>
      <c r="S2319" s="1" t="s">
        <v>42</v>
      </c>
      <c r="T2319" s="1" t="s">
        <v>203</v>
      </c>
      <c r="U2319" s="1">
        <v>40</v>
      </c>
      <c r="V2319" s="5">
        <v>43665</v>
      </c>
      <c r="W2319" s="5">
        <v>42509</v>
      </c>
      <c r="X2319" s="1">
        <v>605000</v>
      </c>
      <c r="Y2319" s="1">
        <v>605000</v>
      </c>
      <c r="Z2319" s="5">
        <v>42549</v>
      </c>
      <c r="AA2319" s="1">
        <v>605000</v>
      </c>
      <c r="AB2319" s="1" t="s">
        <v>204</v>
      </c>
      <c r="AC2319" s="5">
        <v>42591</v>
      </c>
      <c r="AF2319" s="1">
        <v>10029</v>
      </c>
      <c r="AI2319" s="1" t="s">
        <v>154</v>
      </c>
      <c r="AJ2319" s="1">
        <v>2008</v>
      </c>
      <c r="AK2319" s="1" t="s">
        <v>87</v>
      </c>
      <c r="AL2319" s="1">
        <v>76</v>
      </c>
    </row>
    <row r="2320" spans="1:38" x14ac:dyDescent="0.2">
      <c r="A2320" s="2" t="str">
        <f>HYPERLINK("https://www.compass.com/listing/1810-3rd-avenue-unit-b7c-manhattan-ny-10029/4852322425255235953/","1810 3rd Ave, Unit B7C")</f>
        <v>1810 3rd Ave, Unit B7C</v>
      </c>
      <c r="B2320" s="2" t="str">
        <f t="shared" si="378"/>
        <v>The Art House Condominiums</v>
      </c>
      <c r="C2320" s="1" t="s">
        <v>82</v>
      </c>
      <c r="D2320" s="1" t="s">
        <v>41</v>
      </c>
      <c r="E2320" s="3">
        <v>625000</v>
      </c>
      <c r="F2320" s="1">
        <v>1053.9629005059001</v>
      </c>
      <c r="G2320" s="1">
        <v>4</v>
      </c>
      <c r="H2320" s="1">
        <v>2</v>
      </c>
      <c r="I2320" s="1">
        <v>1</v>
      </c>
      <c r="J2320" s="1">
        <v>1</v>
      </c>
      <c r="K2320" s="1">
        <v>1</v>
      </c>
      <c r="M2320" s="1">
        <v>593</v>
      </c>
      <c r="N2320" s="1">
        <v>573.67999999999995</v>
      </c>
      <c r="O2320" s="1">
        <v>850.83999999999901</v>
      </c>
      <c r="P2320" s="1">
        <v>277.166666666666</v>
      </c>
      <c r="Q2320" s="1" t="s">
        <v>42</v>
      </c>
      <c r="S2320" s="1" t="s">
        <v>42</v>
      </c>
      <c r="T2320" s="1" t="s">
        <v>203</v>
      </c>
      <c r="U2320" s="1">
        <v>170</v>
      </c>
      <c r="V2320" s="5">
        <v>43635</v>
      </c>
      <c r="W2320" s="5">
        <v>42297</v>
      </c>
      <c r="X2320" s="1">
        <v>666454</v>
      </c>
      <c r="Y2320" s="1">
        <v>625000</v>
      </c>
      <c r="Z2320" s="5">
        <v>42467</v>
      </c>
      <c r="AA2320" s="1">
        <v>625000</v>
      </c>
      <c r="AB2320" s="1" t="s">
        <v>204</v>
      </c>
      <c r="AC2320" s="5">
        <v>42622</v>
      </c>
      <c r="AF2320" s="1">
        <v>10029</v>
      </c>
      <c r="AI2320" s="1" t="s">
        <v>154</v>
      </c>
      <c r="AJ2320" s="1">
        <v>2008</v>
      </c>
      <c r="AK2320" s="1" t="s">
        <v>87</v>
      </c>
      <c r="AL2320" s="1">
        <v>76</v>
      </c>
    </row>
    <row r="2321" spans="1:38" x14ac:dyDescent="0.2">
      <c r="A2321" s="2" t="str">
        <f>HYPERLINK("https://www.compass.com/listing/1810-3rd-avenue-unit-a3a-manhattan-ny-10029/440458999897894889/","1810 3rd Ave, Unit A3A")</f>
        <v>1810 3rd Ave, Unit A3A</v>
      </c>
      <c r="B2321" s="2" t="str">
        <f t="shared" si="378"/>
        <v>The Art House Condominiums</v>
      </c>
      <c r="C2321" s="1" t="s">
        <v>82</v>
      </c>
      <c r="D2321" s="1" t="s">
        <v>41</v>
      </c>
      <c r="E2321" s="3">
        <v>615000</v>
      </c>
      <c r="G2321" s="1">
        <v>4</v>
      </c>
      <c r="H2321" s="1">
        <v>1</v>
      </c>
      <c r="I2321" s="1">
        <v>1</v>
      </c>
      <c r="J2321" s="1">
        <v>1</v>
      </c>
      <c r="K2321" s="1">
        <v>1</v>
      </c>
      <c r="N2321" s="1">
        <v>605</v>
      </c>
      <c r="O2321" s="1">
        <v>1236</v>
      </c>
      <c r="P2321" s="1">
        <v>631</v>
      </c>
      <c r="Q2321" s="1" t="s">
        <v>42</v>
      </c>
      <c r="S2321" s="1" t="s">
        <v>42</v>
      </c>
      <c r="T2321" s="1" t="s">
        <v>203</v>
      </c>
      <c r="U2321" s="1">
        <v>35</v>
      </c>
      <c r="V2321" s="5">
        <v>44072</v>
      </c>
      <c r="W2321" s="5">
        <v>43859</v>
      </c>
      <c r="X2321" s="1">
        <v>627000</v>
      </c>
      <c r="Y2321" s="1">
        <v>627000</v>
      </c>
      <c r="Z2321" s="5">
        <v>43896</v>
      </c>
      <c r="AA2321" s="1">
        <v>615000</v>
      </c>
      <c r="AB2321" s="1" t="s">
        <v>204</v>
      </c>
      <c r="AC2321" s="5">
        <v>44004</v>
      </c>
      <c r="AF2321" s="1">
        <v>10029</v>
      </c>
      <c r="AI2321" s="1" t="s">
        <v>1800</v>
      </c>
      <c r="AJ2321" s="1">
        <v>2008</v>
      </c>
      <c r="AK2321" s="1" t="s">
        <v>87</v>
      </c>
      <c r="AL2321" s="1">
        <v>76</v>
      </c>
    </row>
    <row r="2322" spans="1:38" x14ac:dyDescent="0.2">
      <c r="A2322" s="2" t="str">
        <f>HYPERLINK("https://www.compass.com/listing/1810-3rd-avenue-unit-a5a-manhattan-ny-10029/4852261289877053185/","1810 3rd Ave, Unit A5A")</f>
        <v>1810 3rd Ave, Unit A5A</v>
      </c>
      <c r="B2322" s="2" t="str">
        <f t="shared" si="378"/>
        <v>The Art House Condominiums</v>
      </c>
      <c r="C2322" s="1" t="s">
        <v>82</v>
      </c>
      <c r="D2322" s="1" t="s">
        <v>41</v>
      </c>
      <c r="E2322" s="3">
        <v>608634</v>
      </c>
      <c r="F2322" s="1">
        <v>1014.39</v>
      </c>
      <c r="G2322" s="1">
        <v>3</v>
      </c>
      <c r="H2322" s="1">
        <v>1</v>
      </c>
      <c r="I2322" s="1">
        <v>1</v>
      </c>
      <c r="J2322" s="1">
        <v>1</v>
      </c>
      <c r="K2322" s="1">
        <v>1</v>
      </c>
      <c r="M2322" s="1">
        <v>600</v>
      </c>
      <c r="N2322" s="1">
        <v>604.64</v>
      </c>
      <c r="O2322" s="1">
        <v>896.76</v>
      </c>
      <c r="P2322" s="1">
        <v>292.08333333333297</v>
      </c>
      <c r="Q2322" s="1" t="s">
        <v>42</v>
      </c>
      <c r="S2322" s="1" t="s">
        <v>42</v>
      </c>
      <c r="T2322" s="1" t="s">
        <v>203</v>
      </c>
      <c r="U2322" s="1">
        <v>22</v>
      </c>
      <c r="V2322" s="5">
        <v>43664</v>
      </c>
      <c r="W2322" s="5">
        <v>42221</v>
      </c>
      <c r="X2322" s="1">
        <v>608634</v>
      </c>
      <c r="Y2322" s="1">
        <v>608634</v>
      </c>
      <c r="Z2322" s="5">
        <v>42243</v>
      </c>
      <c r="AA2322" s="1">
        <v>608634</v>
      </c>
      <c r="AB2322" s="1" t="s">
        <v>204</v>
      </c>
      <c r="AC2322" s="5">
        <v>42606</v>
      </c>
      <c r="AF2322" s="1">
        <v>10029</v>
      </c>
      <c r="AI2322" s="1" t="s">
        <v>1801</v>
      </c>
      <c r="AJ2322" s="1">
        <v>2008</v>
      </c>
      <c r="AK2322" s="1" t="s">
        <v>87</v>
      </c>
      <c r="AL2322" s="1">
        <v>76</v>
      </c>
    </row>
    <row r="2323" spans="1:38" x14ac:dyDescent="0.2">
      <c r="A2323" s="2" t="str">
        <f>HYPERLINK("https://www.compass.com/listing/1810-3rd-avenue-unit-a12a-manhattan-ny-10029/4852272580163276993/","1810 3rd Ave, Unit A12A")</f>
        <v>1810 3rd Ave, Unit A12A</v>
      </c>
      <c r="B2323" s="2" t="str">
        <f t="shared" si="378"/>
        <v>The Art House Condominiums</v>
      </c>
      <c r="C2323" s="1" t="s">
        <v>82</v>
      </c>
      <c r="D2323" s="1" t="s">
        <v>41</v>
      </c>
      <c r="E2323" s="3">
        <v>635000</v>
      </c>
      <c r="F2323" s="1">
        <v>1058.3333333333301</v>
      </c>
      <c r="G2323" s="1">
        <v>3</v>
      </c>
      <c r="H2323" s="1">
        <v>1</v>
      </c>
      <c r="I2323" s="1">
        <v>1</v>
      </c>
      <c r="J2323" s="1">
        <v>1</v>
      </c>
      <c r="K2323" s="1">
        <v>1</v>
      </c>
      <c r="M2323" s="1">
        <v>600</v>
      </c>
      <c r="N2323" s="1">
        <v>605</v>
      </c>
      <c r="O2323" s="1">
        <v>898</v>
      </c>
      <c r="P2323" s="1">
        <v>293</v>
      </c>
      <c r="Q2323" s="1" t="s">
        <v>42</v>
      </c>
      <c r="S2323" s="1" t="s">
        <v>42</v>
      </c>
      <c r="T2323" s="1" t="s">
        <v>203</v>
      </c>
      <c r="U2323" s="1">
        <v>114</v>
      </c>
      <c r="V2323" s="5">
        <v>43640</v>
      </c>
      <c r="W2323" s="5">
        <v>42508</v>
      </c>
      <c r="X2323" s="1">
        <v>635000</v>
      </c>
      <c r="Y2323" s="1">
        <v>635000</v>
      </c>
      <c r="Z2323" s="5">
        <v>42622</v>
      </c>
      <c r="AA2323" s="1">
        <v>635000</v>
      </c>
      <c r="AB2323" s="1" t="s">
        <v>204</v>
      </c>
      <c r="AC2323" s="5">
        <v>42672</v>
      </c>
      <c r="AF2323" s="1">
        <v>10029</v>
      </c>
      <c r="AI2323" s="1" t="s">
        <v>1801</v>
      </c>
      <c r="AJ2323" s="1">
        <v>2008</v>
      </c>
      <c r="AK2323" s="1" t="s">
        <v>87</v>
      </c>
      <c r="AL2323" s="1">
        <v>76</v>
      </c>
    </row>
    <row r="2324" spans="1:38" x14ac:dyDescent="0.2">
      <c r="A2324" s="2" t="str">
        <f>HYPERLINK("https://www.compass.com/listing/1810-3rd-avenue-unit-a11b-manhattan-ny-10029/4852272824808642449/","1810 3rd Ave, Unit A11B")</f>
        <v>1810 3rd Ave, Unit A11B</v>
      </c>
      <c r="B2324" s="2" t="str">
        <f t="shared" si="378"/>
        <v>The Art House Condominiums</v>
      </c>
      <c r="C2324" s="1" t="s">
        <v>82</v>
      </c>
      <c r="D2324" s="1" t="s">
        <v>41</v>
      </c>
      <c r="E2324" s="3">
        <v>620000</v>
      </c>
      <c r="F2324" s="1">
        <v>1033.3333333333301</v>
      </c>
      <c r="G2324" s="1">
        <v>3</v>
      </c>
      <c r="H2324" s="1">
        <v>1</v>
      </c>
      <c r="I2324" s="1">
        <v>1</v>
      </c>
      <c r="J2324" s="1">
        <v>1</v>
      </c>
      <c r="K2324" s="1">
        <v>1</v>
      </c>
      <c r="M2324" s="1">
        <v>600</v>
      </c>
      <c r="N2324" s="1">
        <v>605</v>
      </c>
      <c r="O2324" s="1">
        <v>898</v>
      </c>
      <c r="P2324" s="1">
        <v>293</v>
      </c>
      <c r="Q2324" s="1" t="s">
        <v>42</v>
      </c>
      <c r="S2324" s="1" t="s">
        <v>42</v>
      </c>
      <c r="T2324" s="1" t="s">
        <v>203</v>
      </c>
      <c r="U2324" s="1">
        <v>231</v>
      </c>
      <c r="V2324" s="5">
        <v>43642</v>
      </c>
      <c r="W2324" s="5">
        <v>42508</v>
      </c>
      <c r="X2324" s="1">
        <v>620000</v>
      </c>
      <c r="Y2324" s="1">
        <v>620000</v>
      </c>
      <c r="Z2324" s="5">
        <v>42739</v>
      </c>
      <c r="AA2324" s="1">
        <v>620000</v>
      </c>
      <c r="AB2324" s="1" t="s">
        <v>204</v>
      </c>
      <c r="AC2324" s="5">
        <v>42775</v>
      </c>
      <c r="AF2324" s="1">
        <v>10029</v>
      </c>
      <c r="AI2324" s="1" t="s">
        <v>1801</v>
      </c>
      <c r="AJ2324" s="1">
        <v>2008</v>
      </c>
      <c r="AK2324" s="1" t="s">
        <v>87</v>
      </c>
      <c r="AL2324" s="1">
        <v>76</v>
      </c>
    </row>
    <row r="2325" spans="1:38" x14ac:dyDescent="0.2">
      <c r="A2325" s="2" t="str">
        <f>HYPERLINK("https://www.compass.com/listing/1810-3rd-avenue-unit-a7a-manhattan-ny-10029/4852288545949222353/","1810 3rd Ave, Unit A7A")</f>
        <v>1810 3rd Ave, Unit A7A</v>
      </c>
      <c r="B2325" s="2" t="str">
        <f t="shared" si="378"/>
        <v>The Art House Condominiums</v>
      </c>
      <c r="C2325" s="1" t="s">
        <v>82</v>
      </c>
      <c r="D2325" s="1" t="s">
        <v>41</v>
      </c>
      <c r="E2325" s="3">
        <v>599000</v>
      </c>
      <c r="F2325" s="1">
        <v>998.33333333333303</v>
      </c>
      <c r="G2325" s="1">
        <v>3</v>
      </c>
      <c r="H2325" s="1">
        <v>1</v>
      </c>
      <c r="I2325" s="1">
        <v>1</v>
      </c>
      <c r="J2325" s="1">
        <v>1</v>
      </c>
      <c r="K2325" s="1">
        <v>1</v>
      </c>
      <c r="M2325" s="1">
        <v>600</v>
      </c>
      <c r="N2325" s="1">
        <v>605</v>
      </c>
      <c r="O2325" s="1">
        <v>898</v>
      </c>
      <c r="P2325" s="1">
        <v>293</v>
      </c>
      <c r="Q2325" s="1" t="s">
        <v>42</v>
      </c>
      <c r="S2325" s="1" t="s">
        <v>42</v>
      </c>
      <c r="T2325" s="1" t="s">
        <v>203</v>
      </c>
      <c r="U2325" s="1">
        <v>42</v>
      </c>
      <c r="V2325" s="5">
        <v>43631</v>
      </c>
      <c r="W2325" s="5">
        <v>42756</v>
      </c>
      <c r="X2325" s="1">
        <v>599000</v>
      </c>
      <c r="Y2325" s="1">
        <v>599000</v>
      </c>
      <c r="Z2325" s="5">
        <v>42798</v>
      </c>
      <c r="AA2325" s="1">
        <v>599000</v>
      </c>
      <c r="AB2325" s="1" t="s">
        <v>204</v>
      </c>
      <c r="AC2325" s="5">
        <v>42846</v>
      </c>
      <c r="AF2325" s="1">
        <v>10029</v>
      </c>
      <c r="AI2325" s="1" t="s">
        <v>1800</v>
      </c>
      <c r="AJ2325" s="1">
        <v>2008</v>
      </c>
      <c r="AK2325" s="1" t="s">
        <v>87</v>
      </c>
      <c r="AL2325" s="1">
        <v>76</v>
      </c>
    </row>
    <row r="2326" spans="1:38" x14ac:dyDescent="0.2">
      <c r="A2326" s="2" t="str">
        <f>HYPERLINK("https://www.compass.com/listing/1810-3rd-avenue-unit-a12c-manhattan-ny-10029/4852321882663303425/","1810 3rd Ave, Unit A12C")</f>
        <v>1810 3rd Ave, Unit A12C</v>
      </c>
      <c r="B2326" s="2" t="str">
        <f t="shared" si="378"/>
        <v>The Art House Condominiums</v>
      </c>
      <c r="C2326" s="1" t="s">
        <v>82</v>
      </c>
      <c r="D2326" s="1" t="s">
        <v>41</v>
      </c>
      <c r="E2326" s="3">
        <v>595000</v>
      </c>
      <c r="F2326" s="1">
        <v>1083.78870673952</v>
      </c>
      <c r="G2326" s="1">
        <v>3</v>
      </c>
      <c r="H2326" s="1">
        <v>1</v>
      </c>
      <c r="I2326" s="1">
        <v>1</v>
      </c>
      <c r="J2326" s="1">
        <v>1</v>
      </c>
      <c r="K2326" s="1">
        <v>1</v>
      </c>
      <c r="M2326" s="1">
        <v>549</v>
      </c>
      <c r="N2326" s="1">
        <v>531.11</v>
      </c>
      <c r="O2326" s="1">
        <v>787.71</v>
      </c>
      <c r="P2326" s="1">
        <v>256.58333333333297</v>
      </c>
      <c r="Q2326" s="1" t="s">
        <v>42</v>
      </c>
      <c r="S2326" s="1" t="s">
        <v>42</v>
      </c>
      <c r="T2326" s="1" t="s">
        <v>203</v>
      </c>
      <c r="U2326" s="1">
        <v>124</v>
      </c>
      <c r="V2326" s="5">
        <v>43631</v>
      </c>
      <c r="W2326" s="5">
        <v>42300</v>
      </c>
      <c r="X2326" s="1">
        <v>642600</v>
      </c>
      <c r="Y2326" s="1">
        <v>595000</v>
      </c>
      <c r="Z2326" s="5">
        <v>42424</v>
      </c>
      <c r="AA2326" s="1">
        <v>595000</v>
      </c>
      <c r="AB2326" s="1" t="s">
        <v>204</v>
      </c>
      <c r="AC2326" s="5">
        <v>42537</v>
      </c>
      <c r="AF2326" s="1">
        <v>10029</v>
      </c>
      <c r="AI2326" s="1" t="s">
        <v>154</v>
      </c>
      <c r="AJ2326" s="1">
        <v>2008</v>
      </c>
      <c r="AK2326" s="1" t="s">
        <v>87</v>
      </c>
      <c r="AL2326" s="1">
        <v>76</v>
      </c>
    </row>
    <row r="2327" spans="1:38" x14ac:dyDescent="0.2">
      <c r="A2327" s="2" t="str">
        <f>HYPERLINK("https://www.compass.com/listing/1810-3rd-avenue-unit-a9a-manhattan-ny-10029/4852326402579509841/","1810 3rd Ave, Unit A9A")</f>
        <v>1810 3rd Ave, Unit A9A</v>
      </c>
      <c r="B2327" s="2" t="str">
        <f t="shared" si="378"/>
        <v>The Art House Condominiums</v>
      </c>
      <c r="C2327" s="1" t="s">
        <v>82</v>
      </c>
      <c r="D2327" s="1" t="s">
        <v>41</v>
      </c>
      <c r="E2327" s="3">
        <v>635000</v>
      </c>
      <c r="F2327" s="1">
        <v>1058.3333333333301</v>
      </c>
      <c r="G2327" s="1">
        <v>3.5</v>
      </c>
      <c r="H2327" s="1">
        <v>1</v>
      </c>
      <c r="I2327" s="1">
        <v>1</v>
      </c>
      <c r="J2327" s="1">
        <v>1</v>
      </c>
      <c r="K2327" s="1">
        <v>1</v>
      </c>
      <c r="M2327" s="1">
        <v>600</v>
      </c>
      <c r="N2327" s="1">
        <v>604</v>
      </c>
      <c r="O2327" s="1">
        <v>896.12</v>
      </c>
      <c r="P2327" s="1">
        <v>292.08333333333297</v>
      </c>
      <c r="Q2327" s="1" t="s">
        <v>42</v>
      </c>
      <c r="S2327" s="1" t="s">
        <v>42</v>
      </c>
      <c r="T2327" s="1" t="s">
        <v>203</v>
      </c>
      <c r="U2327" s="1">
        <v>42</v>
      </c>
      <c r="V2327" s="5">
        <v>43677</v>
      </c>
      <c r="W2327" s="5">
        <v>42375</v>
      </c>
      <c r="X2327" s="1">
        <v>635000</v>
      </c>
      <c r="Y2327" s="1">
        <v>635000</v>
      </c>
      <c r="Z2327" s="5">
        <v>42417</v>
      </c>
      <c r="AA2327" s="1">
        <v>635000</v>
      </c>
      <c r="AB2327" s="1" t="s">
        <v>204</v>
      </c>
      <c r="AC2327" s="5">
        <v>42551</v>
      </c>
      <c r="AF2327" s="1">
        <v>10029</v>
      </c>
      <c r="AI2327" s="1" t="s">
        <v>1801</v>
      </c>
      <c r="AJ2327" s="1">
        <v>2008</v>
      </c>
      <c r="AK2327" s="1" t="s">
        <v>87</v>
      </c>
      <c r="AL2327" s="1">
        <v>76</v>
      </c>
    </row>
    <row r="2328" spans="1:38" x14ac:dyDescent="0.2">
      <c r="A2328" s="2" t="str">
        <f>HYPERLINK("https://www.compass.com/listing/1810-3rd-avenue-unit-a12b-manhattan-ny-10029/803330669425741569/","1810 3rd Ave, Unit A12B")</f>
        <v>1810 3rd Ave, Unit A12B</v>
      </c>
      <c r="B2328" s="2" t="str">
        <f t="shared" si="378"/>
        <v>The Art House Condominiums</v>
      </c>
      <c r="C2328" s="1" t="s">
        <v>82</v>
      </c>
      <c r="D2328" s="1" t="s">
        <v>41</v>
      </c>
      <c r="E2328" s="3">
        <v>630000</v>
      </c>
      <c r="F2328" s="1">
        <v>1050</v>
      </c>
      <c r="G2328" s="1">
        <v>3</v>
      </c>
      <c r="H2328" s="1">
        <v>1</v>
      </c>
      <c r="I2328" s="1">
        <v>1</v>
      </c>
      <c r="J2328" s="1">
        <v>1</v>
      </c>
      <c r="K2328" s="1">
        <v>1</v>
      </c>
      <c r="M2328" s="1">
        <v>600</v>
      </c>
      <c r="N2328" s="1">
        <v>605</v>
      </c>
      <c r="O2328" s="1">
        <v>898</v>
      </c>
      <c r="P2328" s="1">
        <v>293</v>
      </c>
      <c r="Q2328" s="1" t="s">
        <v>42</v>
      </c>
      <c r="S2328" s="1" t="s">
        <v>42</v>
      </c>
      <c r="T2328" s="1" t="s">
        <v>203</v>
      </c>
      <c r="U2328" s="1">
        <v>49</v>
      </c>
      <c r="V2328" s="5">
        <v>42662</v>
      </c>
      <c r="W2328" s="5">
        <v>42507</v>
      </c>
      <c r="X2328" s="1">
        <v>630000</v>
      </c>
      <c r="Y2328" s="1">
        <v>630000</v>
      </c>
      <c r="Z2328" s="5">
        <v>42556</v>
      </c>
      <c r="AA2328" s="1">
        <v>630000</v>
      </c>
      <c r="AB2328" s="1" t="s">
        <v>1803</v>
      </c>
      <c r="AC2328" s="5">
        <v>42654</v>
      </c>
      <c r="AF2328" s="1">
        <v>10029</v>
      </c>
      <c r="AI2328" s="1" t="s">
        <v>154</v>
      </c>
      <c r="AJ2328" s="1">
        <v>2008</v>
      </c>
      <c r="AK2328" s="1" t="s">
        <v>87</v>
      </c>
      <c r="AL2328" s="1">
        <v>76</v>
      </c>
    </row>
    <row r="2329" spans="1:38" x14ac:dyDescent="0.2">
      <c r="A2329" s="2" t="str">
        <f>HYPERLINK("https://www.compass.com/listing/1810-3rd-avenue-unit-a10a-manhattan-ny-10029/803332341996751361/","1810 3rd Ave, Unit A10A")</f>
        <v>1810 3rd Ave, Unit A10A</v>
      </c>
      <c r="B2329" s="2" t="str">
        <f t="shared" si="378"/>
        <v>The Art House Condominiums</v>
      </c>
      <c r="C2329" s="1" t="s">
        <v>82</v>
      </c>
      <c r="D2329" s="1" t="s">
        <v>41</v>
      </c>
      <c r="E2329" s="3">
        <v>615000</v>
      </c>
      <c r="F2329" s="1">
        <v>1025</v>
      </c>
      <c r="G2329" s="1">
        <v>3</v>
      </c>
      <c r="H2329" s="1">
        <v>1</v>
      </c>
      <c r="I2329" s="1">
        <v>1</v>
      </c>
      <c r="J2329" s="1">
        <v>1</v>
      </c>
      <c r="K2329" s="1">
        <v>1</v>
      </c>
      <c r="M2329" s="1">
        <v>600</v>
      </c>
      <c r="N2329" s="1">
        <v>605</v>
      </c>
      <c r="O2329" s="1">
        <v>898</v>
      </c>
      <c r="P2329" s="1">
        <v>293</v>
      </c>
      <c r="Q2329" s="1" t="s">
        <v>42</v>
      </c>
      <c r="S2329" s="1" t="s">
        <v>42</v>
      </c>
      <c r="T2329" s="1" t="s">
        <v>203</v>
      </c>
      <c r="U2329" s="1">
        <v>107</v>
      </c>
      <c r="V2329" s="5">
        <v>42725</v>
      </c>
      <c r="W2329" s="5">
        <v>42507</v>
      </c>
      <c r="X2329" s="1">
        <v>615000</v>
      </c>
      <c r="Y2329" s="1">
        <v>615000</v>
      </c>
      <c r="Z2329" s="5">
        <v>42615</v>
      </c>
      <c r="AA2329" s="1">
        <v>615000</v>
      </c>
      <c r="AB2329" s="1" t="s">
        <v>204</v>
      </c>
      <c r="AC2329" s="5">
        <v>42712</v>
      </c>
      <c r="AF2329" s="1">
        <v>10029</v>
      </c>
      <c r="AI2329" s="1" t="s">
        <v>1799</v>
      </c>
      <c r="AJ2329" s="1">
        <v>2008</v>
      </c>
      <c r="AK2329" s="1" t="s">
        <v>87</v>
      </c>
      <c r="AL2329" s="1">
        <v>76</v>
      </c>
    </row>
    <row r="2330" spans="1:38" x14ac:dyDescent="0.2">
      <c r="A2330" s="2" t="str">
        <f>HYPERLINK("https://www.compass.com/listing/1810-3rd-avenue-unit-a11a-manhattan-ny-10029/803364727794946497/","1810 3rd Ave, Unit A11A")</f>
        <v>1810 3rd Ave, Unit A11A</v>
      </c>
      <c r="B2330" s="2" t="str">
        <f t="shared" si="378"/>
        <v>The Art House Condominiums</v>
      </c>
      <c r="C2330" s="1" t="s">
        <v>82</v>
      </c>
      <c r="D2330" s="1" t="s">
        <v>41</v>
      </c>
      <c r="E2330" s="3">
        <v>625000</v>
      </c>
      <c r="F2330" s="1">
        <v>1041.6666666666599</v>
      </c>
      <c r="G2330" s="1">
        <v>3</v>
      </c>
      <c r="H2330" s="1">
        <v>1</v>
      </c>
      <c r="I2330" s="1">
        <v>1</v>
      </c>
      <c r="J2330" s="1">
        <v>1</v>
      </c>
      <c r="K2330" s="1">
        <v>1</v>
      </c>
      <c r="M2330" s="1">
        <v>600</v>
      </c>
      <c r="N2330" s="1">
        <v>605</v>
      </c>
      <c r="O2330" s="1">
        <v>898</v>
      </c>
      <c r="P2330" s="1">
        <v>293</v>
      </c>
      <c r="Q2330" s="1" t="s">
        <v>42</v>
      </c>
      <c r="S2330" s="1" t="s">
        <v>42</v>
      </c>
      <c r="T2330" s="1" t="s">
        <v>203</v>
      </c>
      <c r="U2330" s="1">
        <v>36</v>
      </c>
      <c r="V2330" s="5">
        <v>42634</v>
      </c>
      <c r="W2330" s="5">
        <v>42507</v>
      </c>
      <c r="X2330" s="1">
        <v>625000</v>
      </c>
      <c r="Y2330" s="1">
        <v>625000</v>
      </c>
      <c r="Z2330" s="5">
        <v>42543</v>
      </c>
      <c r="AA2330" s="1">
        <v>625000</v>
      </c>
      <c r="AB2330" s="1" t="s">
        <v>204</v>
      </c>
      <c r="AC2330" s="5">
        <v>42611</v>
      </c>
      <c r="AF2330" s="1">
        <v>10029</v>
      </c>
      <c r="AI2330" s="1" t="s">
        <v>154</v>
      </c>
      <c r="AJ2330" s="1">
        <v>2008</v>
      </c>
      <c r="AK2330" s="1" t="s">
        <v>87</v>
      </c>
      <c r="AL2330" s="1">
        <v>76</v>
      </c>
    </row>
    <row r="2331" spans="1:38" x14ac:dyDescent="0.2">
      <c r="A2331" s="2" t="str">
        <f>HYPERLINK("https://www.compass.com/listing/1810-3rd-avenue-unit-a12a-manhattan-ny-10029/803383856287270097/","1810 3rd Ave, Unit A12A")</f>
        <v>1810 3rd Ave, Unit A12A</v>
      </c>
      <c r="B2331" s="2" t="str">
        <f t="shared" si="378"/>
        <v>The Art House Condominiums</v>
      </c>
      <c r="C2331" s="1" t="s">
        <v>82</v>
      </c>
      <c r="D2331" s="1" t="s">
        <v>41</v>
      </c>
      <c r="E2331" s="3">
        <v>630000</v>
      </c>
      <c r="F2331" s="1">
        <v>1050</v>
      </c>
      <c r="G2331" s="1">
        <v>3</v>
      </c>
      <c r="H2331" s="1">
        <v>1</v>
      </c>
      <c r="I2331" s="1">
        <v>1</v>
      </c>
      <c r="J2331" s="1">
        <v>1</v>
      </c>
      <c r="K2331" s="1">
        <v>1</v>
      </c>
      <c r="M2331" s="1">
        <v>600</v>
      </c>
      <c r="N2331" s="1">
        <v>604.64</v>
      </c>
      <c r="O2331" s="1">
        <v>896.76</v>
      </c>
      <c r="P2331" s="1">
        <v>292.08333333333297</v>
      </c>
      <c r="Q2331" s="1" t="s">
        <v>42</v>
      </c>
      <c r="S2331" s="1" t="s">
        <v>42</v>
      </c>
      <c r="T2331" s="1" t="s">
        <v>203</v>
      </c>
      <c r="U2331" s="1">
        <v>104</v>
      </c>
      <c r="V2331" s="5">
        <v>42669</v>
      </c>
      <c r="W2331" s="5">
        <v>42403</v>
      </c>
      <c r="X2331" s="1">
        <v>670000</v>
      </c>
      <c r="Y2331" s="1">
        <v>670000</v>
      </c>
      <c r="AA2331" s="1">
        <v>630000</v>
      </c>
      <c r="AB2331" s="1" t="s">
        <v>204</v>
      </c>
      <c r="AC2331" s="5">
        <v>42664</v>
      </c>
      <c r="AF2331" s="1">
        <v>10029</v>
      </c>
      <c r="AI2331" s="1" t="s">
        <v>1799</v>
      </c>
      <c r="AJ2331" s="1">
        <v>2008</v>
      </c>
      <c r="AK2331" s="1" t="s">
        <v>87</v>
      </c>
      <c r="AL2331" s="1">
        <v>76</v>
      </c>
    </row>
    <row r="2332" spans="1:38" x14ac:dyDescent="0.2">
      <c r="A2332" s="2" t="str">
        <f>HYPERLINK("https://www.compass.com/listing/1810-3rd-avenue-unit-b2d-manhattan-ny-10029/537488566576624297/","1810 3rd Ave, Unit B2D")</f>
        <v>1810 3rd Ave, Unit B2D</v>
      </c>
      <c r="B2332" s="2" t="str">
        <f t="shared" si="378"/>
        <v>The Art House Condominiums</v>
      </c>
      <c r="C2332" s="1" t="s">
        <v>82</v>
      </c>
      <c r="D2332" s="1" t="s">
        <v>41</v>
      </c>
      <c r="E2332" s="3">
        <v>710000</v>
      </c>
      <c r="F2332" s="1">
        <v>838.25265643447403</v>
      </c>
      <c r="G2332" s="1">
        <v>5</v>
      </c>
      <c r="H2332" s="1">
        <v>3</v>
      </c>
      <c r="I2332" s="1">
        <v>1</v>
      </c>
      <c r="J2332" s="1">
        <v>1</v>
      </c>
      <c r="K2332" s="1">
        <v>1</v>
      </c>
      <c r="M2332" s="1">
        <v>847</v>
      </c>
      <c r="N2332" s="1">
        <v>827</v>
      </c>
      <c r="O2332" s="1">
        <v>1577</v>
      </c>
      <c r="P2332" s="1">
        <v>750</v>
      </c>
      <c r="Q2332" s="1" t="s">
        <v>42</v>
      </c>
      <c r="S2332" s="1" t="s">
        <v>42</v>
      </c>
      <c r="T2332" s="1" t="s">
        <v>203</v>
      </c>
      <c r="U2332" s="1">
        <v>243</v>
      </c>
      <c r="V2332" s="5">
        <v>44357</v>
      </c>
      <c r="W2332" s="5">
        <v>43992</v>
      </c>
      <c r="X2332" s="1">
        <v>769000</v>
      </c>
      <c r="Y2332" s="1">
        <v>725000</v>
      </c>
      <c r="Z2332" s="5">
        <v>44288</v>
      </c>
      <c r="AA2332" s="1">
        <v>710000</v>
      </c>
      <c r="AB2332" s="1" t="s">
        <v>215</v>
      </c>
      <c r="AC2332" s="5">
        <v>44337</v>
      </c>
      <c r="AF2332" s="1">
        <v>10029</v>
      </c>
      <c r="AI2332" s="1" t="s">
        <v>154</v>
      </c>
      <c r="AJ2332" s="1">
        <v>2008</v>
      </c>
      <c r="AK2332" s="1" t="s">
        <v>55</v>
      </c>
      <c r="AL2332" s="1">
        <v>76</v>
      </c>
    </row>
    <row r="2333" spans="1:38" x14ac:dyDescent="0.2">
      <c r="A2333" s="2" t="str">
        <f>HYPERLINK("https://www.compass.com/listing/264-water-street-unit-phd-manhattan-ny-10038/803337703055680713/","264 Water St, Unit PHD")</f>
        <v>264 Water St, Unit PHD</v>
      </c>
      <c r="B2333" s="2" t="str">
        <f>HYPERLINK("https://www.compass.com/building/264-water-st-manhattan-ny-10038/820452910768211061/","264 Water St")</f>
        <v>264 Water St</v>
      </c>
      <c r="C2333" s="1" t="s">
        <v>155</v>
      </c>
      <c r="D2333" s="1" t="s">
        <v>41</v>
      </c>
      <c r="E2333" s="3">
        <v>173000</v>
      </c>
      <c r="F2333" s="1">
        <v>133.07692307692301</v>
      </c>
      <c r="G2333" s="1">
        <v>4.5</v>
      </c>
      <c r="H2333" s="1">
        <v>2</v>
      </c>
      <c r="I2333" s="1">
        <v>3</v>
      </c>
      <c r="J2333" s="1">
        <v>2.5</v>
      </c>
      <c r="K2333" s="1">
        <v>2</v>
      </c>
      <c r="L2333" s="1">
        <v>1</v>
      </c>
      <c r="M2333" s="4">
        <v>1300</v>
      </c>
      <c r="N2333" s="1">
        <v>1043.8599999999999</v>
      </c>
      <c r="O2333" s="1">
        <v>2361.7600000000002</v>
      </c>
      <c r="P2333" s="1">
        <v>1317.9166666666599</v>
      </c>
      <c r="Q2333" s="1" t="s">
        <v>42</v>
      </c>
      <c r="S2333" s="1" t="s">
        <v>42</v>
      </c>
      <c r="T2333" s="1" t="s">
        <v>203</v>
      </c>
      <c r="U2333" s="1">
        <v>197</v>
      </c>
      <c r="V2333" s="5">
        <v>41956</v>
      </c>
      <c r="W2333" s="5">
        <v>41596</v>
      </c>
      <c r="X2333" s="1">
        <v>1750000</v>
      </c>
      <c r="Y2333" s="1">
        <v>1865000</v>
      </c>
      <c r="Z2333" s="5">
        <v>41921</v>
      </c>
      <c r="AA2333" s="1">
        <v>173000</v>
      </c>
      <c r="AB2333" s="1" t="s">
        <v>204</v>
      </c>
      <c r="AC2333" s="5">
        <v>41956</v>
      </c>
      <c r="AF2333" s="1">
        <v>10038</v>
      </c>
      <c r="AJ2333" s="1">
        <v>1900</v>
      </c>
      <c r="AK2333" s="1" t="s">
        <v>61</v>
      </c>
      <c r="AL2333" s="1">
        <v>27</v>
      </c>
    </row>
    <row r="2334" spans="1:38" x14ac:dyDescent="0.2">
      <c r="A2334" s="2" t="str">
        <f>HYPERLINK("https://www.compass.com/listing/1810-3rd-avenue-unit-b2b-manhattan-ny-10029/803435998641867737/","1810 3rd Ave, Unit B2B")</f>
        <v>1810 3rd Ave, Unit B2B</v>
      </c>
      <c r="B2334" s="2" t="str">
        <f t="shared" ref="B2334:B2339" si="379">HYPERLINK("https://www.compass.com/building/the-art-house-condominiums-manhattan-ny/281989881993998229/","The Art House Condominiums")</f>
        <v>The Art House Condominiums</v>
      </c>
      <c r="C2334" s="1" t="s">
        <v>82</v>
      </c>
      <c r="D2334" s="1" t="s">
        <v>41</v>
      </c>
      <c r="E2334" s="3">
        <v>710000</v>
      </c>
      <c r="F2334" s="1">
        <v>895.33417402269799</v>
      </c>
      <c r="G2334" s="1">
        <v>5</v>
      </c>
      <c r="H2334" s="1">
        <v>3</v>
      </c>
      <c r="I2334" s="1">
        <v>1</v>
      </c>
      <c r="J2334" s="1">
        <v>1</v>
      </c>
      <c r="K2334" s="1">
        <v>1</v>
      </c>
      <c r="M2334" s="1">
        <v>793</v>
      </c>
      <c r="N2334" s="1">
        <v>314</v>
      </c>
      <c r="O2334" s="1">
        <v>1082</v>
      </c>
      <c r="P2334" s="1">
        <v>768</v>
      </c>
      <c r="Q2334" s="1" t="s">
        <v>42</v>
      </c>
      <c r="S2334" s="1" t="s">
        <v>42</v>
      </c>
      <c r="T2334" s="1" t="s">
        <v>203</v>
      </c>
      <c r="V2334" s="5">
        <v>42768</v>
      </c>
      <c r="W2334" s="5">
        <v>42703</v>
      </c>
      <c r="X2334" s="1">
        <v>710000</v>
      </c>
      <c r="Y2334" s="1">
        <v>710000</v>
      </c>
      <c r="Z2334" s="5">
        <v>42704</v>
      </c>
      <c r="AA2334" s="1">
        <v>710000</v>
      </c>
      <c r="AB2334" s="1" t="s">
        <v>204</v>
      </c>
      <c r="AC2334" s="5">
        <v>42766</v>
      </c>
      <c r="AF2334" s="1">
        <v>10029</v>
      </c>
      <c r="AI2334" s="1" t="s">
        <v>154</v>
      </c>
      <c r="AJ2334" s="1">
        <v>2008</v>
      </c>
      <c r="AK2334" s="1" t="s">
        <v>87</v>
      </c>
      <c r="AL2334" s="1">
        <v>76</v>
      </c>
    </row>
    <row r="2335" spans="1:38" x14ac:dyDescent="0.2">
      <c r="A2335" s="2" t="str">
        <f>HYPERLINK("https://www.compass.com/listing/1810-3rd-avenue-unit-a4c-manhattan-ny-10029/4852274792885129969/","1810 3rd Ave, Unit A4C")</f>
        <v>1810 3rd Ave, Unit A4C</v>
      </c>
      <c r="B2335" s="2" t="str">
        <f t="shared" si="379"/>
        <v>The Art House Condominiums</v>
      </c>
      <c r="C2335" s="1" t="s">
        <v>82</v>
      </c>
      <c r="D2335" s="1" t="s">
        <v>41</v>
      </c>
      <c r="E2335" s="3">
        <v>695000</v>
      </c>
      <c r="F2335" s="1">
        <v>926.66666666666595</v>
      </c>
      <c r="G2335" s="1">
        <v>4</v>
      </c>
      <c r="H2335" s="1">
        <v>3</v>
      </c>
      <c r="I2335" s="1">
        <v>1</v>
      </c>
      <c r="J2335" s="1">
        <v>1</v>
      </c>
      <c r="K2335" s="1">
        <v>1</v>
      </c>
      <c r="M2335" s="1">
        <v>750</v>
      </c>
      <c r="N2335" s="1">
        <v>729.43</v>
      </c>
      <c r="O2335" s="1">
        <v>1081.8399999999999</v>
      </c>
      <c r="P2335" s="1">
        <v>352.416666666666</v>
      </c>
      <c r="Q2335" s="1" t="s">
        <v>42</v>
      </c>
      <c r="S2335" s="1" t="s">
        <v>42</v>
      </c>
      <c r="T2335" s="1" t="s">
        <v>203</v>
      </c>
      <c r="U2335" s="1">
        <v>40</v>
      </c>
      <c r="V2335" s="5">
        <v>43631</v>
      </c>
      <c r="W2335" s="5">
        <v>42404</v>
      </c>
      <c r="X2335" s="1">
        <v>695000</v>
      </c>
      <c r="Y2335" s="1">
        <v>695000</v>
      </c>
      <c r="Z2335" s="5">
        <v>42444</v>
      </c>
      <c r="AA2335" s="1">
        <v>695000</v>
      </c>
      <c r="AB2335" s="1" t="s">
        <v>204</v>
      </c>
      <c r="AC2335" s="5">
        <v>42606</v>
      </c>
      <c r="AF2335" s="1">
        <v>10029</v>
      </c>
      <c r="AI2335" s="1" t="s">
        <v>154</v>
      </c>
      <c r="AJ2335" s="1">
        <v>2008</v>
      </c>
      <c r="AK2335" s="1" t="s">
        <v>87</v>
      </c>
      <c r="AL2335" s="1">
        <v>76</v>
      </c>
    </row>
    <row r="2336" spans="1:38" x14ac:dyDescent="0.2">
      <c r="A2336" s="2" t="str">
        <f>HYPERLINK("https://www.compass.com/listing/1810-3rd-avenue-unit-a7d-manhattan-ny-10029/4852288172186404913/","1810 3rd Ave, Unit A7D")</f>
        <v>1810 3rd Ave, Unit A7D</v>
      </c>
      <c r="B2336" s="2" t="str">
        <f t="shared" si="379"/>
        <v>The Art House Condominiums</v>
      </c>
      <c r="C2336" s="1" t="s">
        <v>82</v>
      </c>
      <c r="D2336" s="1" t="s">
        <v>41</v>
      </c>
      <c r="E2336" s="3">
        <v>715000</v>
      </c>
      <c r="F2336" s="1">
        <v>948.27586206896501</v>
      </c>
      <c r="G2336" s="1">
        <v>4</v>
      </c>
      <c r="H2336" s="1">
        <v>3</v>
      </c>
      <c r="I2336" s="1">
        <v>1</v>
      </c>
      <c r="J2336" s="1">
        <v>1</v>
      </c>
      <c r="K2336" s="1">
        <v>1</v>
      </c>
      <c r="M2336" s="1">
        <v>754</v>
      </c>
      <c r="N2336" s="1">
        <v>729.43</v>
      </c>
      <c r="O2336" s="1">
        <v>1081.8399999999999</v>
      </c>
      <c r="P2336" s="1">
        <v>352.416666666666</v>
      </c>
      <c r="Q2336" s="1" t="s">
        <v>42</v>
      </c>
      <c r="S2336" s="1" t="s">
        <v>42</v>
      </c>
      <c r="T2336" s="1" t="s">
        <v>203</v>
      </c>
      <c r="U2336" s="1">
        <v>258</v>
      </c>
      <c r="V2336" s="5">
        <v>43664</v>
      </c>
      <c r="W2336" s="5">
        <v>42130</v>
      </c>
      <c r="X2336" s="1">
        <v>779987</v>
      </c>
      <c r="Y2336" s="1">
        <v>715000</v>
      </c>
      <c r="Z2336" s="5">
        <v>42388</v>
      </c>
      <c r="AA2336" s="1">
        <v>715000</v>
      </c>
      <c r="AB2336" s="1" t="s">
        <v>204</v>
      </c>
      <c r="AC2336" s="5">
        <v>42528</v>
      </c>
      <c r="AF2336" s="1">
        <v>10029</v>
      </c>
      <c r="AI2336" s="1" t="s">
        <v>154</v>
      </c>
      <c r="AJ2336" s="1">
        <v>2008</v>
      </c>
      <c r="AK2336" s="1" t="s">
        <v>87</v>
      </c>
      <c r="AL2336" s="1">
        <v>76</v>
      </c>
    </row>
    <row r="2337" spans="1:38" x14ac:dyDescent="0.2">
      <c r="A2337" s="2" t="str">
        <f>HYPERLINK("https://www.compass.com/listing/1810-3rd-avenue-unit-b3d-manhattan-ny-10029/803339420665380585/","1810 3rd Ave, Unit B3D")</f>
        <v>1810 3rd Ave, Unit B3D</v>
      </c>
      <c r="B2337" s="2" t="str">
        <f t="shared" si="379"/>
        <v>The Art House Condominiums</v>
      </c>
      <c r="C2337" s="1" t="s">
        <v>82</v>
      </c>
      <c r="D2337" s="1" t="s">
        <v>41</v>
      </c>
      <c r="E2337" s="3">
        <v>700000</v>
      </c>
      <c r="F2337" s="1">
        <v>826.44628099173497</v>
      </c>
      <c r="G2337" s="1">
        <v>5</v>
      </c>
      <c r="H2337" s="1">
        <v>3</v>
      </c>
      <c r="I2337" s="1">
        <v>1</v>
      </c>
      <c r="J2337" s="1">
        <v>1</v>
      </c>
      <c r="K2337" s="1">
        <v>1</v>
      </c>
      <c r="M2337" s="1">
        <v>847</v>
      </c>
      <c r="N2337" s="1">
        <v>820</v>
      </c>
      <c r="O2337" s="1">
        <v>1216</v>
      </c>
      <c r="P2337" s="1">
        <v>396</v>
      </c>
      <c r="Q2337" s="1" t="s">
        <v>42</v>
      </c>
      <c r="S2337" s="1" t="s">
        <v>42</v>
      </c>
      <c r="T2337" s="1" t="s">
        <v>203</v>
      </c>
      <c r="U2337" s="1">
        <v>35</v>
      </c>
      <c r="V2337" s="5">
        <v>42612</v>
      </c>
      <c r="W2337" s="5">
        <v>42507</v>
      </c>
      <c r="X2337" s="1">
        <v>730000</v>
      </c>
      <c r="Y2337" s="1">
        <v>730000</v>
      </c>
      <c r="Z2337" s="5">
        <v>42542</v>
      </c>
      <c r="AA2337" s="1">
        <v>700000</v>
      </c>
      <c r="AB2337" s="1" t="s">
        <v>204</v>
      </c>
      <c r="AC2337" s="5">
        <v>42606</v>
      </c>
      <c r="AF2337" s="1">
        <v>10029</v>
      </c>
      <c r="AI2337" s="1" t="s">
        <v>154</v>
      </c>
      <c r="AJ2337" s="1">
        <v>2008</v>
      </c>
      <c r="AK2337" s="1" t="s">
        <v>87</v>
      </c>
      <c r="AL2337" s="1">
        <v>76</v>
      </c>
    </row>
    <row r="2338" spans="1:38" x14ac:dyDescent="0.2">
      <c r="A2338" s="2" t="str">
        <f>HYPERLINK("https://www.compass.com/listing/1810-3rd-avenue-unit-a7c-manhattan-ny-10029/803353981308705105/","1810 3rd Ave, Unit A7C")</f>
        <v>1810 3rd Ave, Unit A7C</v>
      </c>
      <c r="B2338" s="2" t="str">
        <f t="shared" si="379"/>
        <v>The Art House Condominiums</v>
      </c>
      <c r="C2338" s="1" t="s">
        <v>82</v>
      </c>
      <c r="D2338" s="1" t="s">
        <v>41</v>
      </c>
      <c r="E2338" s="3">
        <v>702500</v>
      </c>
      <c r="F2338" s="1">
        <v>931.69761273209497</v>
      </c>
      <c r="G2338" s="1">
        <v>5</v>
      </c>
      <c r="H2338" s="1">
        <v>3</v>
      </c>
      <c r="I2338" s="1">
        <v>1</v>
      </c>
      <c r="J2338" s="1">
        <v>1</v>
      </c>
      <c r="K2338" s="1">
        <v>1</v>
      </c>
      <c r="M2338" s="1">
        <v>754</v>
      </c>
      <c r="N2338" s="1">
        <v>729.43</v>
      </c>
      <c r="O2338" s="1">
        <v>1081.8399999999999</v>
      </c>
      <c r="P2338" s="1">
        <v>352.416666666666</v>
      </c>
      <c r="Q2338" s="1" t="s">
        <v>42</v>
      </c>
      <c r="S2338" s="1" t="s">
        <v>42</v>
      </c>
      <c r="T2338" s="1" t="s">
        <v>203</v>
      </c>
      <c r="U2338" s="1">
        <v>272</v>
      </c>
      <c r="V2338" s="5">
        <v>42658</v>
      </c>
      <c r="W2338" s="5">
        <v>42135</v>
      </c>
      <c r="X2338" s="1">
        <v>795588</v>
      </c>
      <c r="Y2338" s="1">
        <v>720000</v>
      </c>
      <c r="Z2338" s="5">
        <v>42408</v>
      </c>
      <c r="AA2338" s="1">
        <v>702500</v>
      </c>
      <c r="AB2338" s="1" t="s">
        <v>204</v>
      </c>
      <c r="AC2338" s="5">
        <v>42571</v>
      </c>
      <c r="AF2338" s="1">
        <v>10029</v>
      </c>
      <c r="AI2338" s="1" t="s">
        <v>1799</v>
      </c>
      <c r="AJ2338" s="1">
        <v>2008</v>
      </c>
      <c r="AK2338" s="1" t="s">
        <v>87</v>
      </c>
      <c r="AL2338" s="1">
        <v>76</v>
      </c>
    </row>
    <row r="2339" spans="1:38" x14ac:dyDescent="0.2">
      <c r="A2339" s="2" t="str">
        <f>HYPERLINK("https://www.compass.com/listing/1810-3rd-avenue-unit-a6d-manhattan-ny-10029/803387166146806177/","1810 3rd Ave, Unit A6D")</f>
        <v>1810 3rd Ave, Unit A6D</v>
      </c>
      <c r="B2339" s="2" t="str">
        <f t="shared" si="379"/>
        <v>The Art House Condominiums</v>
      </c>
      <c r="C2339" s="1" t="s">
        <v>82</v>
      </c>
      <c r="D2339" s="1" t="s">
        <v>41</v>
      </c>
      <c r="E2339" s="3">
        <v>660000</v>
      </c>
      <c r="F2339" s="1">
        <v>875.33156498673702</v>
      </c>
      <c r="G2339" s="1">
        <v>5</v>
      </c>
      <c r="H2339" s="1">
        <v>3</v>
      </c>
      <c r="I2339" s="1">
        <v>1</v>
      </c>
      <c r="J2339" s="1">
        <v>1</v>
      </c>
      <c r="K2339" s="1">
        <v>1</v>
      </c>
      <c r="M2339" s="1">
        <v>754</v>
      </c>
      <c r="N2339" s="1">
        <v>730</v>
      </c>
      <c r="O2339" s="1">
        <v>1083</v>
      </c>
      <c r="P2339" s="1">
        <v>353</v>
      </c>
      <c r="Q2339" s="1" t="s">
        <v>42</v>
      </c>
      <c r="S2339" s="1" t="s">
        <v>42</v>
      </c>
      <c r="T2339" s="1" t="s">
        <v>203</v>
      </c>
      <c r="U2339" s="1">
        <v>41</v>
      </c>
      <c r="V2339" s="5">
        <v>42648</v>
      </c>
      <c r="W2339" s="5">
        <v>42507</v>
      </c>
      <c r="X2339" s="1">
        <v>690000</v>
      </c>
      <c r="Y2339" s="1">
        <v>690000</v>
      </c>
      <c r="Z2339" s="5">
        <v>42549</v>
      </c>
      <c r="AA2339" s="1">
        <v>660000</v>
      </c>
      <c r="AB2339" s="1" t="s">
        <v>204</v>
      </c>
      <c r="AC2339" s="5">
        <v>42584</v>
      </c>
      <c r="AF2339" s="1">
        <v>10029</v>
      </c>
      <c r="AI2339" s="1" t="s">
        <v>154</v>
      </c>
      <c r="AJ2339" s="1">
        <v>2008</v>
      </c>
      <c r="AK2339" s="1" t="s">
        <v>87</v>
      </c>
      <c r="AL2339" s="1">
        <v>76</v>
      </c>
    </row>
    <row r="2340" spans="1:38" x14ac:dyDescent="0.2">
      <c r="A2340" s="2" t="str">
        <f>HYPERLINK("https://www.compass.com/listing/1399-park-avenue-unit-12c-manhattan-ny-10029/394092860962697745/","1399 Park Ave, Unit 12C")</f>
        <v>1399 Park Ave, Unit 12C</v>
      </c>
      <c r="B2340" s="2" t="str">
        <f t="shared" ref="B2340:B2341" si="380">HYPERLINK("https://www.compass.com/building/1399-park-manhattan-ny/281988559521557189/","1399 Park")</f>
        <v>1399 Park</v>
      </c>
      <c r="C2340" s="1" t="s">
        <v>82</v>
      </c>
      <c r="D2340" s="1" t="s">
        <v>41</v>
      </c>
      <c r="E2340" s="3">
        <v>616248</v>
      </c>
      <c r="F2340" s="1">
        <v>1336.76353579175</v>
      </c>
      <c r="G2340" s="1">
        <v>2</v>
      </c>
      <c r="H2340" s="1" t="s">
        <v>77</v>
      </c>
      <c r="I2340" s="1">
        <v>1</v>
      </c>
      <c r="J2340" s="1">
        <v>1</v>
      </c>
      <c r="K2340" s="1">
        <v>1</v>
      </c>
      <c r="M2340" s="1">
        <v>461</v>
      </c>
      <c r="N2340" s="1">
        <v>548.28</v>
      </c>
      <c r="O2340" s="1">
        <v>889.01</v>
      </c>
      <c r="P2340" s="1">
        <v>340.75</v>
      </c>
      <c r="Q2340" s="1" t="s">
        <v>42</v>
      </c>
      <c r="S2340" s="1" t="s">
        <v>42</v>
      </c>
      <c r="T2340" s="1" t="s">
        <v>203</v>
      </c>
      <c r="U2340" s="1">
        <v>7</v>
      </c>
      <c r="V2340" s="5">
        <v>44288</v>
      </c>
      <c r="W2340" s="5">
        <v>43795</v>
      </c>
      <c r="X2340" s="1">
        <v>680000</v>
      </c>
      <c r="Y2340" s="1">
        <v>680000</v>
      </c>
      <c r="AA2340" s="1">
        <v>616247.99</v>
      </c>
      <c r="AB2340" s="1" t="s">
        <v>1804</v>
      </c>
      <c r="AC2340" s="5">
        <v>43816</v>
      </c>
      <c r="AF2340" s="1">
        <v>10029</v>
      </c>
      <c r="AI2340" s="1" t="s">
        <v>49</v>
      </c>
      <c r="AJ2340" s="1">
        <v>2019</v>
      </c>
      <c r="AK2340" s="1" t="s">
        <v>87</v>
      </c>
      <c r="AL2340" s="1">
        <v>72</v>
      </c>
    </row>
    <row r="2341" spans="1:38" x14ac:dyDescent="0.2">
      <c r="A2341" s="2" t="str">
        <f>HYPERLINK("https://www.compass.com/listing/1399-park-avenue-unit-7g-manhattan-ny-10029/841525801853523969/","1399 Park Ave, Unit 7G")</f>
        <v>1399 Park Ave, Unit 7G</v>
      </c>
      <c r="B2341" s="2" t="str">
        <f t="shared" si="380"/>
        <v>1399 Park</v>
      </c>
      <c r="C2341" s="1" t="s">
        <v>82</v>
      </c>
      <c r="D2341" s="1" t="s">
        <v>41</v>
      </c>
      <c r="E2341" s="3">
        <v>634453</v>
      </c>
      <c r="F2341" s="1">
        <v>1210.78841603053</v>
      </c>
      <c r="H2341" s="1" t="s">
        <v>77</v>
      </c>
      <c r="J2341" s="1">
        <v>1</v>
      </c>
      <c r="K2341" s="1">
        <v>1</v>
      </c>
      <c r="M2341" s="1">
        <v>524</v>
      </c>
      <c r="N2341" s="1">
        <v>609</v>
      </c>
      <c r="O2341" s="1">
        <v>987</v>
      </c>
      <c r="P2341" s="1">
        <v>378</v>
      </c>
      <c r="Q2341" s="1" t="s">
        <v>42</v>
      </c>
      <c r="S2341" s="1" t="s">
        <v>42</v>
      </c>
      <c r="T2341" s="1" t="s">
        <v>203</v>
      </c>
      <c r="AA2341" s="1">
        <v>634453.13</v>
      </c>
      <c r="AB2341" s="1" t="s">
        <v>1805</v>
      </c>
      <c r="AC2341" s="5">
        <v>44337</v>
      </c>
      <c r="AF2341" s="1">
        <v>10029</v>
      </c>
      <c r="AI2341" s="1" t="s">
        <v>52</v>
      </c>
      <c r="AJ2341" s="1">
        <v>2019</v>
      </c>
      <c r="AK2341" s="1" t="s">
        <v>55</v>
      </c>
      <c r="AL2341" s="1">
        <v>72</v>
      </c>
    </row>
    <row r="2342" spans="1:38" x14ac:dyDescent="0.2">
      <c r="A2342" s="2" t="str">
        <f>HYPERLINK("https://www.compass.com/listing/1810-3rd-avenue-unit-a2d-manhattan-ny-10029/29427578985043201/","1810 3rd Ave, Unit A2D")</f>
        <v>1810 3rd Ave, Unit A2D</v>
      </c>
      <c r="B2342" s="2" t="str">
        <f t="shared" ref="B2342:B2361" si="381">HYPERLINK("https://www.compass.com/building/the-art-house-condominiums-manhattan-ny/281989881993998229/","The Art House Condominiums")</f>
        <v>The Art House Condominiums</v>
      </c>
      <c r="C2342" s="1" t="s">
        <v>82</v>
      </c>
      <c r="D2342" s="1" t="s">
        <v>41</v>
      </c>
      <c r="E2342" s="3">
        <v>675000</v>
      </c>
      <c r="F2342" s="1">
        <v>895.22546419098103</v>
      </c>
      <c r="G2342" s="1">
        <v>4</v>
      </c>
      <c r="H2342" s="1">
        <v>2</v>
      </c>
      <c r="I2342" s="1">
        <v>1</v>
      </c>
      <c r="J2342" s="1">
        <v>1</v>
      </c>
      <c r="K2342" s="1">
        <v>1</v>
      </c>
      <c r="M2342" s="1">
        <v>754</v>
      </c>
      <c r="N2342" s="1">
        <v>720</v>
      </c>
      <c r="O2342" s="1">
        <v>1073</v>
      </c>
      <c r="P2342" s="1">
        <v>353</v>
      </c>
      <c r="Q2342" s="1" t="s">
        <v>42</v>
      </c>
      <c r="S2342" s="1" t="s">
        <v>42</v>
      </c>
      <c r="T2342" s="1" t="s">
        <v>203</v>
      </c>
      <c r="U2342" s="1">
        <v>43</v>
      </c>
      <c r="V2342" s="5">
        <v>43670</v>
      </c>
      <c r="W2342" s="5">
        <v>42704</v>
      </c>
      <c r="X2342" s="1">
        <v>685000</v>
      </c>
      <c r="Y2342" s="1">
        <v>685000</v>
      </c>
      <c r="Z2342" s="5">
        <v>42747</v>
      </c>
      <c r="AA2342" s="1">
        <v>675000</v>
      </c>
      <c r="AB2342" s="1" t="s">
        <v>1806</v>
      </c>
      <c r="AC2342" s="5">
        <v>42814</v>
      </c>
      <c r="AF2342" s="1">
        <v>10029</v>
      </c>
      <c r="AI2342" s="1" t="s">
        <v>154</v>
      </c>
      <c r="AJ2342" s="1">
        <v>2008</v>
      </c>
      <c r="AK2342" s="1" t="s">
        <v>87</v>
      </c>
      <c r="AL2342" s="1">
        <v>76</v>
      </c>
    </row>
    <row r="2343" spans="1:38" x14ac:dyDescent="0.2">
      <c r="A2343" s="2" t="str">
        <f>HYPERLINK("https://www.compass.com/listing/1810-3rd-avenue-unit-a3c-manhattan-ny-10029/29427581442969393/","1810 3rd Ave, Unit A3C")</f>
        <v>1810 3rd Ave, Unit A3C</v>
      </c>
      <c r="B2343" s="2" t="str">
        <f t="shared" si="381"/>
        <v>The Art House Condominiums</v>
      </c>
      <c r="C2343" s="1" t="s">
        <v>82</v>
      </c>
      <c r="D2343" s="1" t="s">
        <v>41</v>
      </c>
      <c r="E2343" s="3">
        <v>681159</v>
      </c>
      <c r="F2343" s="1">
        <v>903.39440318302297</v>
      </c>
      <c r="G2343" s="1">
        <v>4</v>
      </c>
      <c r="H2343" s="1">
        <v>2</v>
      </c>
      <c r="I2343" s="1">
        <v>1</v>
      </c>
      <c r="J2343" s="1">
        <v>1</v>
      </c>
      <c r="K2343" s="1">
        <v>1</v>
      </c>
      <c r="M2343" s="1">
        <v>754</v>
      </c>
      <c r="N2343" s="1">
        <v>729.43</v>
      </c>
      <c r="O2343" s="1">
        <v>1081.8399999999999</v>
      </c>
      <c r="P2343" s="1">
        <v>352.416666666666</v>
      </c>
      <c r="Q2343" s="1" t="s">
        <v>42</v>
      </c>
      <c r="S2343" s="1" t="s">
        <v>42</v>
      </c>
      <c r="T2343" s="1" t="s">
        <v>203</v>
      </c>
      <c r="U2343" s="1">
        <v>104</v>
      </c>
      <c r="V2343" s="5">
        <v>42696</v>
      </c>
      <c r="W2343" s="5">
        <v>42403</v>
      </c>
      <c r="X2343" s="1">
        <v>690000</v>
      </c>
      <c r="Y2343" s="1">
        <v>690000</v>
      </c>
      <c r="AA2343" s="1">
        <v>681159.38</v>
      </c>
      <c r="AB2343" s="1" t="s">
        <v>1807</v>
      </c>
      <c r="AC2343" s="5">
        <v>42613</v>
      </c>
      <c r="AF2343" s="1">
        <v>10029</v>
      </c>
      <c r="AI2343" s="1" t="s">
        <v>154</v>
      </c>
      <c r="AJ2343" s="1">
        <v>2008</v>
      </c>
      <c r="AK2343" s="1" t="s">
        <v>87</v>
      </c>
      <c r="AL2343" s="1">
        <v>76</v>
      </c>
    </row>
    <row r="2344" spans="1:38" x14ac:dyDescent="0.2">
      <c r="A2344" s="2" t="str">
        <f>HYPERLINK("https://www.compass.com/listing/1810-3rd-avenue-unit-a4d-manhattan-ny-10029/29427584806801265/","1810 3rd Ave, Unit A4D")</f>
        <v>1810 3rd Ave, Unit A4D</v>
      </c>
      <c r="B2344" s="2" t="str">
        <f t="shared" si="381"/>
        <v>The Art House Condominiums</v>
      </c>
      <c r="C2344" s="1" t="s">
        <v>82</v>
      </c>
      <c r="D2344" s="1" t="s">
        <v>41</v>
      </c>
      <c r="E2344" s="3">
        <v>680000</v>
      </c>
      <c r="F2344" s="1">
        <v>901.85676392572896</v>
      </c>
      <c r="G2344" s="1">
        <v>4</v>
      </c>
      <c r="H2344" s="1">
        <v>2</v>
      </c>
      <c r="I2344" s="1">
        <v>1</v>
      </c>
      <c r="J2344" s="1">
        <v>1</v>
      </c>
      <c r="K2344" s="1">
        <v>1</v>
      </c>
      <c r="M2344" s="1">
        <v>754</v>
      </c>
      <c r="N2344" s="1">
        <v>729.43</v>
      </c>
      <c r="O2344" s="1">
        <v>1081.8399999999999</v>
      </c>
      <c r="P2344" s="1">
        <v>352.416666666666</v>
      </c>
      <c r="Q2344" s="1" t="s">
        <v>42</v>
      </c>
      <c r="S2344" s="1" t="s">
        <v>42</v>
      </c>
      <c r="T2344" s="1" t="s">
        <v>203</v>
      </c>
      <c r="U2344" s="1">
        <v>82</v>
      </c>
      <c r="V2344" s="5">
        <v>43631</v>
      </c>
      <c r="W2344" s="5">
        <v>42509</v>
      </c>
      <c r="X2344" s="1">
        <v>675000</v>
      </c>
      <c r="Y2344" s="1">
        <v>675000</v>
      </c>
      <c r="AA2344" s="1">
        <v>680000</v>
      </c>
      <c r="AB2344" s="1" t="s">
        <v>1808</v>
      </c>
      <c r="AC2344" s="5">
        <v>42591</v>
      </c>
      <c r="AF2344" s="1">
        <v>10029</v>
      </c>
      <c r="AI2344" s="1" t="s">
        <v>154</v>
      </c>
      <c r="AJ2344" s="1">
        <v>2008</v>
      </c>
      <c r="AK2344" s="1" t="s">
        <v>87</v>
      </c>
      <c r="AL2344" s="1">
        <v>76</v>
      </c>
    </row>
    <row r="2345" spans="1:38" x14ac:dyDescent="0.2">
      <c r="A2345" s="2" t="str">
        <f>HYPERLINK("https://www.compass.com/listing/1810-3rd-avenue-unit-a5d-manhattan-ny-10029/4852272689055805569/","1810 3rd Ave, Unit A5D")</f>
        <v>1810 3rd Ave, Unit A5D</v>
      </c>
      <c r="B2345" s="2" t="str">
        <f t="shared" si="381"/>
        <v>The Art House Condominiums</v>
      </c>
      <c r="C2345" s="1" t="s">
        <v>82</v>
      </c>
      <c r="D2345" s="1" t="s">
        <v>41</v>
      </c>
      <c r="E2345" s="3">
        <v>700000</v>
      </c>
      <c r="F2345" s="1">
        <v>928.381962864721</v>
      </c>
      <c r="G2345" s="1">
        <v>4</v>
      </c>
      <c r="H2345" s="1">
        <v>2</v>
      </c>
      <c r="I2345" s="1">
        <v>1</v>
      </c>
      <c r="J2345" s="1">
        <v>1</v>
      </c>
      <c r="K2345" s="1">
        <v>1</v>
      </c>
      <c r="M2345" s="1">
        <v>754</v>
      </c>
      <c r="N2345" s="1">
        <v>729.43</v>
      </c>
      <c r="O2345" s="1">
        <v>1081.8399999999999</v>
      </c>
      <c r="P2345" s="1">
        <v>352.416666666666</v>
      </c>
      <c r="Q2345" s="1" t="s">
        <v>42</v>
      </c>
      <c r="S2345" s="1" t="s">
        <v>42</v>
      </c>
      <c r="T2345" s="1" t="s">
        <v>203</v>
      </c>
      <c r="U2345" s="1">
        <v>103</v>
      </c>
      <c r="V2345" s="5">
        <v>43641</v>
      </c>
      <c r="W2345" s="5">
        <v>42404</v>
      </c>
      <c r="X2345" s="1">
        <v>700000</v>
      </c>
      <c r="Y2345" s="1">
        <v>700000</v>
      </c>
      <c r="Z2345" s="5">
        <v>42507</v>
      </c>
      <c r="AA2345" s="1">
        <v>700000</v>
      </c>
      <c r="AB2345" s="1" t="s">
        <v>204</v>
      </c>
      <c r="AC2345" s="5">
        <v>42543</v>
      </c>
      <c r="AF2345" s="1">
        <v>10029</v>
      </c>
      <c r="AI2345" s="1" t="s">
        <v>154</v>
      </c>
      <c r="AJ2345" s="1">
        <v>2008</v>
      </c>
      <c r="AK2345" s="1" t="s">
        <v>87</v>
      </c>
      <c r="AL2345" s="1">
        <v>76</v>
      </c>
    </row>
    <row r="2346" spans="1:38" x14ac:dyDescent="0.2">
      <c r="A2346" s="2" t="str">
        <f>HYPERLINK("https://www.compass.com/listing/1810-3rd-avenue-unit-a8d-manhattan-ny-10029/4852288200858669041/","1810 3rd Ave, Unit A8D")</f>
        <v>1810 3rd Ave, Unit A8D</v>
      </c>
      <c r="B2346" s="2" t="str">
        <f t="shared" si="381"/>
        <v>The Art House Condominiums</v>
      </c>
      <c r="C2346" s="1" t="s">
        <v>82</v>
      </c>
      <c r="D2346" s="1" t="s">
        <v>41</v>
      </c>
      <c r="E2346" s="3">
        <v>710000</v>
      </c>
      <c r="F2346" s="1">
        <v>941.64456233421697</v>
      </c>
      <c r="G2346" s="1">
        <v>4</v>
      </c>
      <c r="H2346" s="1">
        <v>2</v>
      </c>
      <c r="I2346" s="1">
        <v>1</v>
      </c>
      <c r="J2346" s="1">
        <v>1</v>
      </c>
      <c r="K2346" s="1">
        <v>1</v>
      </c>
      <c r="M2346" s="1">
        <v>754</v>
      </c>
      <c r="N2346" s="1">
        <v>729.43</v>
      </c>
      <c r="O2346" s="1">
        <v>1081.8399999999999</v>
      </c>
      <c r="P2346" s="1">
        <v>352.416666666666</v>
      </c>
      <c r="Q2346" s="1" t="s">
        <v>42</v>
      </c>
      <c r="S2346" s="1" t="s">
        <v>42</v>
      </c>
      <c r="T2346" s="1" t="s">
        <v>203</v>
      </c>
      <c r="U2346" s="1">
        <v>62</v>
      </c>
      <c r="V2346" s="5">
        <v>43412</v>
      </c>
      <c r="W2346" s="5">
        <v>42403</v>
      </c>
      <c r="X2346" s="1">
        <v>730000</v>
      </c>
      <c r="Y2346" s="1">
        <v>730000</v>
      </c>
      <c r="Z2346" s="5">
        <v>42465</v>
      </c>
      <c r="AA2346" s="1">
        <v>710000</v>
      </c>
      <c r="AB2346" s="1" t="s">
        <v>204</v>
      </c>
      <c r="AC2346" s="5">
        <v>42585</v>
      </c>
      <c r="AF2346" s="1">
        <v>10029</v>
      </c>
      <c r="AI2346" s="1" t="s">
        <v>154</v>
      </c>
      <c r="AJ2346" s="1">
        <v>2008</v>
      </c>
      <c r="AK2346" s="1" t="s">
        <v>87</v>
      </c>
      <c r="AL2346" s="1">
        <v>76</v>
      </c>
    </row>
    <row r="2347" spans="1:38" x14ac:dyDescent="0.2">
      <c r="A2347" s="2" t="str">
        <f>HYPERLINK("https://www.compass.com/listing/1810-3rd-avenue-unit-a2c-manhattan-ny-10029/4852306488619702545/","1810 3rd Ave, Unit A2C")</f>
        <v>1810 3rd Ave, Unit A2C</v>
      </c>
      <c r="B2347" s="2" t="str">
        <f t="shared" si="381"/>
        <v>The Art House Condominiums</v>
      </c>
      <c r="C2347" s="1" t="s">
        <v>82</v>
      </c>
      <c r="D2347" s="1" t="s">
        <v>41</v>
      </c>
      <c r="E2347" s="3">
        <v>700000</v>
      </c>
      <c r="F2347" s="1">
        <v>933.33333333333303</v>
      </c>
      <c r="G2347" s="1">
        <v>4</v>
      </c>
      <c r="H2347" s="1">
        <v>2</v>
      </c>
      <c r="I2347" s="1">
        <v>1</v>
      </c>
      <c r="J2347" s="1">
        <v>1</v>
      </c>
      <c r="K2347" s="1">
        <v>1</v>
      </c>
      <c r="M2347" s="1">
        <v>750</v>
      </c>
      <c r="N2347" s="1">
        <v>729.43</v>
      </c>
      <c r="O2347" s="1">
        <v>1081.8399999999999</v>
      </c>
      <c r="P2347" s="1">
        <v>352.416666666666</v>
      </c>
      <c r="Q2347" s="1" t="s">
        <v>42</v>
      </c>
      <c r="S2347" s="1" t="s">
        <v>42</v>
      </c>
      <c r="T2347" s="1" t="s">
        <v>203</v>
      </c>
      <c r="U2347" s="1">
        <v>83</v>
      </c>
      <c r="V2347" s="5">
        <v>43631</v>
      </c>
      <c r="W2347" s="5">
        <v>42258</v>
      </c>
      <c r="X2347" s="1">
        <v>700000</v>
      </c>
      <c r="Y2347" s="1">
        <v>700000</v>
      </c>
      <c r="Z2347" s="5">
        <v>42341</v>
      </c>
      <c r="AA2347" s="1">
        <v>700000</v>
      </c>
      <c r="AB2347" s="1" t="s">
        <v>204</v>
      </c>
      <c r="AC2347" s="5">
        <v>42546</v>
      </c>
      <c r="AF2347" s="1">
        <v>10029</v>
      </c>
      <c r="AI2347" s="1" t="s">
        <v>1799</v>
      </c>
      <c r="AJ2347" s="1">
        <v>2008</v>
      </c>
      <c r="AK2347" s="1" t="s">
        <v>87</v>
      </c>
      <c r="AL2347" s="1">
        <v>76</v>
      </c>
    </row>
    <row r="2348" spans="1:38" x14ac:dyDescent="0.2">
      <c r="A2348" s="2" t="str">
        <f>HYPERLINK("https://www.compass.com/listing/1810-3rd-avenue-unit-a4d-manhattan-ny-10029/803330046588320753/","1810 3rd Ave, Unit A4D")</f>
        <v>1810 3rd Ave, Unit A4D</v>
      </c>
      <c r="B2348" s="2" t="str">
        <f t="shared" si="381"/>
        <v>The Art House Condominiums</v>
      </c>
      <c r="C2348" s="1" t="s">
        <v>82</v>
      </c>
      <c r="D2348" s="1" t="s">
        <v>41</v>
      </c>
      <c r="E2348" s="3">
        <v>680000</v>
      </c>
      <c r="F2348" s="1">
        <v>901.85676392572896</v>
      </c>
      <c r="G2348" s="1">
        <v>4</v>
      </c>
      <c r="H2348" s="1">
        <v>2</v>
      </c>
      <c r="I2348" s="1">
        <v>1</v>
      </c>
      <c r="J2348" s="1">
        <v>1</v>
      </c>
      <c r="K2348" s="1">
        <v>1</v>
      </c>
      <c r="M2348" s="1">
        <v>754</v>
      </c>
      <c r="N2348" s="1">
        <v>730</v>
      </c>
      <c r="O2348" s="1">
        <v>1083</v>
      </c>
      <c r="P2348" s="1">
        <v>353</v>
      </c>
      <c r="Q2348" s="1" t="s">
        <v>42</v>
      </c>
      <c r="S2348" s="1" t="s">
        <v>42</v>
      </c>
      <c r="T2348" s="1" t="s">
        <v>203</v>
      </c>
      <c r="U2348" s="1">
        <v>1</v>
      </c>
      <c r="V2348" s="5">
        <v>42760</v>
      </c>
      <c r="W2348" s="5">
        <v>42508</v>
      </c>
      <c r="X2348" s="1">
        <v>675000</v>
      </c>
      <c r="Y2348" s="1">
        <v>675000</v>
      </c>
      <c r="AA2348" s="1">
        <v>680000</v>
      </c>
      <c r="AB2348" s="1" t="s">
        <v>1808</v>
      </c>
      <c r="AC2348" s="5">
        <v>42591</v>
      </c>
      <c r="AF2348" s="1">
        <v>10029</v>
      </c>
      <c r="AI2348" s="1" t="s">
        <v>154</v>
      </c>
      <c r="AJ2348" s="1">
        <v>2008</v>
      </c>
      <c r="AK2348" s="1" t="s">
        <v>87</v>
      </c>
      <c r="AL2348" s="1">
        <v>76</v>
      </c>
    </row>
    <row r="2349" spans="1:38" x14ac:dyDescent="0.2">
      <c r="A2349" s="2" t="str">
        <f>HYPERLINK("https://www.compass.com/listing/1810-3rd-avenue-unit-b2a-manhattan-ny-10029/803371756316029545/","1810 3rd Ave, Unit B2A")</f>
        <v>1810 3rd Ave, Unit B2A</v>
      </c>
      <c r="B2349" s="2" t="str">
        <f t="shared" si="381"/>
        <v>The Art House Condominiums</v>
      </c>
      <c r="C2349" s="1" t="s">
        <v>82</v>
      </c>
      <c r="D2349" s="1" t="s">
        <v>41</v>
      </c>
      <c r="E2349" s="3">
        <v>700000</v>
      </c>
      <c r="F2349" s="1">
        <v>902.061855670103</v>
      </c>
      <c r="G2349" s="1">
        <v>4</v>
      </c>
      <c r="H2349" s="1">
        <v>2</v>
      </c>
      <c r="I2349" s="1">
        <v>1</v>
      </c>
      <c r="J2349" s="1">
        <v>1</v>
      </c>
      <c r="K2349" s="1">
        <v>1</v>
      </c>
      <c r="M2349" s="1">
        <v>776</v>
      </c>
      <c r="N2349" s="1">
        <v>777</v>
      </c>
      <c r="O2349" s="1">
        <v>1153</v>
      </c>
      <c r="P2349" s="1">
        <v>376</v>
      </c>
      <c r="Q2349" s="1" t="s">
        <v>42</v>
      </c>
      <c r="S2349" s="1" t="s">
        <v>42</v>
      </c>
      <c r="T2349" s="1" t="s">
        <v>203</v>
      </c>
      <c r="U2349" s="1">
        <v>141</v>
      </c>
      <c r="V2349" s="5">
        <v>42714</v>
      </c>
      <c r="W2349" s="5">
        <v>42507</v>
      </c>
      <c r="X2349" s="1">
        <v>700000</v>
      </c>
      <c r="Y2349" s="1">
        <v>700000</v>
      </c>
      <c r="Z2349" s="5">
        <v>42649</v>
      </c>
      <c r="AA2349" s="1">
        <v>700000</v>
      </c>
      <c r="AB2349" s="1" t="s">
        <v>204</v>
      </c>
      <c r="AC2349" s="5">
        <v>42702</v>
      </c>
      <c r="AF2349" s="1">
        <v>10029</v>
      </c>
      <c r="AI2349" s="1" t="s">
        <v>154</v>
      </c>
      <c r="AJ2349" s="1">
        <v>2008</v>
      </c>
      <c r="AK2349" s="1" t="s">
        <v>87</v>
      </c>
      <c r="AL2349" s="1">
        <v>76</v>
      </c>
    </row>
    <row r="2350" spans="1:38" x14ac:dyDescent="0.2">
      <c r="A2350" s="2" t="str">
        <f>HYPERLINK("https://www.compass.com/listing/1810-3rd-avenue-unit-a3c-manhattan-ny-10029/803385413926394457/","1810 3rd Ave, Unit A3C")</f>
        <v>1810 3rd Ave, Unit A3C</v>
      </c>
      <c r="B2350" s="2" t="str">
        <f t="shared" si="381"/>
        <v>The Art House Condominiums</v>
      </c>
      <c r="C2350" s="1" t="s">
        <v>82</v>
      </c>
      <c r="D2350" s="1" t="s">
        <v>41</v>
      </c>
      <c r="E2350" s="3">
        <v>681159</v>
      </c>
      <c r="F2350" s="1">
        <v>903.39440318302297</v>
      </c>
      <c r="G2350" s="1">
        <v>4</v>
      </c>
      <c r="H2350" s="1">
        <v>2</v>
      </c>
      <c r="I2350" s="1">
        <v>1</v>
      </c>
      <c r="J2350" s="1">
        <v>1</v>
      </c>
      <c r="K2350" s="1">
        <v>1</v>
      </c>
      <c r="M2350" s="1">
        <v>754</v>
      </c>
      <c r="N2350" s="1">
        <v>730</v>
      </c>
      <c r="O2350" s="1">
        <v>1083</v>
      </c>
      <c r="P2350" s="1">
        <v>353</v>
      </c>
      <c r="Q2350" s="1" t="s">
        <v>42</v>
      </c>
      <c r="S2350" s="1" t="s">
        <v>42</v>
      </c>
      <c r="T2350" s="1" t="s">
        <v>203</v>
      </c>
      <c r="U2350" s="1">
        <v>41</v>
      </c>
      <c r="V2350" s="5">
        <v>42793</v>
      </c>
      <c r="W2350" s="5">
        <v>42507</v>
      </c>
      <c r="X2350" s="1">
        <v>675000</v>
      </c>
      <c r="Y2350" s="1">
        <v>675000</v>
      </c>
      <c r="Z2350" s="5">
        <v>42549</v>
      </c>
      <c r="AA2350" s="1">
        <v>681159.38</v>
      </c>
      <c r="AB2350" s="1" t="s">
        <v>1807</v>
      </c>
      <c r="AC2350" s="5">
        <v>42613</v>
      </c>
      <c r="AF2350" s="1">
        <v>10029</v>
      </c>
      <c r="AI2350" s="1" t="s">
        <v>154</v>
      </c>
      <c r="AJ2350" s="1">
        <v>2008</v>
      </c>
      <c r="AK2350" s="1" t="s">
        <v>87</v>
      </c>
      <c r="AL2350" s="1">
        <v>76</v>
      </c>
    </row>
    <row r="2351" spans="1:38" x14ac:dyDescent="0.2">
      <c r="A2351" s="2" t="str">
        <f>HYPERLINK("https://www.compass.com/listing/1810-3rd-avenue-unit-a7c-manhattan-ny-10029/192575408447710017/","1810 3rd Ave, Unit A7C")</f>
        <v>1810 3rd Ave, Unit A7C</v>
      </c>
      <c r="B2351" s="2" t="str">
        <f t="shared" si="381"/>
        <v>The Art House Condominiums</v>
      </c>
      <c r="C2351" s="1" t="s">
        <v>82</v>
      </c>
      <c r="D2351" s="1" t="s">
        <v>41</v>
      </c>
      <c r="E2351" s="3">
        <v>720000</v>
      </c>
      <c r="F2351" s="1">
        <v>954.90716180371305</v>
      </c>
      <c r="G2351" s="1">
        <v>4</v>
      </c>
      <c r="H2351" s="1">
        <v>3</v>
      </c>
      <c r="I2351" s="1">
        <v>1</v>
      </c>
      <c r="J2351" s="1">
        <v>1</v>
      </c>
      <c r="M2351" s="1">
        <v>754</v>
      </c>
      <c r="N2351" s="1">
        <v>729</v>
      </c>
      <c r="O2351" s="1">
        <v>1081</v>
      </c>
      <c r="P2351" s="1">
        <v>352</v>
      </c>
      <c r="Q2351" s="1" t="s">
        <v>42</v>
      </c>
      <c r="S2351" s="1" t="s">
        <v>42</v>
      </c>
      <c r="T2351" s="1" t="s">
        <v>203</v>
      </c>
      <c r="U2351" s="1">
        <v>273</v>
      </c>
      <c r="V2351" s="5">
        <v>43671</v>
      </c>
      <c r="W2351" s="5">
        <v>42136</v>
      </c>
      <c r="X2351" s="1">
        <v>795588</v>
      </c>
      <c r="Y2351" s="1">
        <v>720000</v>
      </c>
      <c r="Z2351" s="5">
        <v>42409</v>
      </c>
      <c r="AA2351" s="1">
        <v>720000</v>
      </c>
      <c r="AB2351" s="1" t="s">
        <v>204</v>
      </c>
      <c r="AC2351" s="5">
        <v>42578</v>
      </c>
      <c r="AF2351" s="1">
        <v>10029</v>
      </c>
      <c r="AI2351" s="1" t="s">
        <v>1799</v>
      </c>
      <c r="AJ2351" s="1">
        <v>2008</v>
      </c>
      <c r="AK2351" s="1" t="s">
        <v>87</v>
      </c>
      <c r="AL2351" s="1">
        <v>76</v>
      </c>
    </row>
    <row r="2352" spans="1:38" x14ac:dyDescent="0.2">
      <c r="A2352" s="2" t="str">
        <f>HYPERLINK("https://www.compass.com/listing/1810-3rd-avenue-unit-a5c-manhattan-ny-10029/29427587071648449/","1810 3rd Ave, Unit A5C")</f>
        <v>1810 3rd Ave, Unit A5C</v>
      </c>
      <c r="B2352" s="2" t="str">
        <f t="shared" si="381"/>
        <v>The Art House Condominiums</v>
      </c>
      <c r="C2352" s="1" t="s">
        <v>82</v>
      </c>
      <c r="D2352" s="1" t="s">
        <v>41</v>
      </c>
      <c r="E2352" s="3">
        <v>666954</v>
      </c>
      <c r="F2352" s="1">
        <v>889.27200000000005</v>
      </c>
      <c r="G2352" s="1">
        <v>4</v>
      </c>
      <c r="H2352" s="1">
        <v>2</v>
      </c>
      <c r="I2352" s="1">
        <v>1</v>
      </c>
      <c r="J2352" s="1">
        <v>1</v>
      </c>
      <c r="K2352" s="1">
        <v>1</v>
      </c>
      <c r="M2352" s="1">
        <v>750</v>
      </c>
      <c r="N2352" s="1">
        <v>729.43</v>
      </c>
      <c r="O2352" s="1">
        <v>1081.8399999999999</v>
      </c>
      <c r="P2352" s="1">
        <v>352.416666666666</v>
      </c>
      <c r="Q2352" s="1" t="s">
        <v>42</v>
      </c>
      <c r="S2352" s="1" t="s">
        <v>42</v>
      </c>
      <c r="T2352" s="1" t="s">
        <v>203</v>
      </c>
      <c r="U2352" s="1">
        <v>97</v>
      </c>
      <c r="V2352" s="5">
        <v>43675</v>
      </c>
      <c r="W2352" s="5">
        <v>42404</v>
      </c>
      <c r="X2352" s="1">
        <v>700000</v>
      </c>
      <c r="Y2352" s="1">
        <v>700000</v>
      </c>
      <c r="Z2352" s="5">
        <v>42501</v>
      </c>
      <c r="AA2352" s="1">
        <v>666954</v>
      </c>
      <c r="AB2352" s="1" t="s">
        <v>1809</v>
      </c>
      <c r="AC2352" s="5">
        <v>42601</v>
      </c>
      <c r="AF2352" s="1">
        <v>10029</v>
      </c>
      <c r="AI2352" s="1" t="s">
        <v>154</v>
      </c>
      <c r="AJ2352" s="1">
        <v>2008</v>
      </c>
      <c r="AK2352" s="1" t="s">
        <v>87</v>
      </c>
      <c r="AL2352" s="1">
        <v>76</v>
      </c>
    </row>
    <row r="2353" spans="1:38" x14ac:dyDescent="0.2">
      <c r="A2353" s="2" t="str">
        <f>HYPERLINK("https://www.compass.com/listing/1810-3rd-avenue-unit-b9c-manhattan-ny-10029/29427598530487169/","1810 3rd Ave, Unit B9C")</f>
        <v>1810 3rd Ave, Unit B9C</v>
      </c>
      <c r="B2353" s="2" t="str">
        <f t="shared" si="381"/>
        <v>The Art House Condominiums</v>
      </c>
      <c r="C2353" s="1" t="s">
        <v>82</v>
      </c>
      <c r="D2353" s="1" t="s">
        <v>41</v>
      </c>
      <c r="E2353" s="3">
        <v>657664</v>
      </c>
      <c r="G2353" s="1">
        <v>4</v>
      </c>
      <c r="H2353" s="1">
        <v>2</v>
      </c>
      <c r="I2353" s="1">
        <v>1</v>
      </c>
      <c r="J2353" s="1">
        <v>1</v>
      </c>
      <c r="K2353" s="1">
        <v>1</v>
      </c>
      <c r="N2353" s="1">
        <v>573.67999999999995</v>
      </c>
      <c r="O2353" s="1">
        <v>850.83999999999901</v>
      </c>
      <c r="P2353" s="1">
        <v>277.166666666666</v>
      </c>
      <c r="Q2353" s="1" t="s">
        <v>42</v>
      </c>
      <c r="S2353" s="1" t="s">
        <v>42</v>
      </c>
      <c r="T2353" s="1" t="s">
        <v>203</v>
      </c>
      <c r="U2353" s="1">
        <v>13</v>
      </c>
      <c r="V2353" s="5">
        <v>43651</v>
      </c>
      <c r="W2353" s="5">
        <v>42258</v>
      </c>
      <c r="X2353" s="1">
        <v>645887</v>
      </c>
      <c r="Y2353" s="1">
        <v>645887</v>
      </c>
      <c r="Z2353" s="5">
        <v>42271</v>
      </c>
      <c r="AA2353" s="1">
        <v>657664</v>
      </c>
      <c r="AB2353" s="1" t="s">
        <v>1810</v>
      </c>
      <c r="AC2353" s="5">
        <v>42566</v>
      </c>
      <c r="AF2353" s="1">
        <v>10029</v>
      </c>
      <c r="AI2353" s="1" t="s">
        <v>154</v>
      </c>
      <c r="AJ2353" s="1">
        <v>2008</v>
      </c>
      <c r="AK2353" s="1" t="s">
        <v>87</v>
      </c>
      <c r="AL2353" s="1">
        <v>76</v>
      </c>
    </row>
    <row r="2354" spans="1:38" x14ac:dyDescent="0.2">
      <c r="A2354" s="2" t="str">
        <f>HYPERLINK("https://www.compass.com/listing/1810-3rd-avenue-unit-a12d-manhattan-ny-10029/4852270217637665249/","1810 3rd Ave, Unit A12D")</f>
        <v>1810 3rd Ave, Unit A12D</v>
      </c>
      <c r="B2354" s="2" t="str">
        <f t="shared" si="381"/>
        <v>The Art House Condominiums</v>
      </c>
      <c r="C2354" s="1" t="s">
        <v>82</v>
      </c>
      <c r="D2354" s="1" t="s">
        <v>41</v>
      </c>
      <c r="E2354" s="3">
        <v>645000</v>
      </c>
      <c r="F2354" s="1">
        <v>1157.9892280071799</v>
      </c>
      <c r="G2354" s="1">
        <v>3</v>
      </c>
      <c r="H2354" s="1">
        <v>2</v>
      </c>
      <c r="I2354" s="1">
        <v>1</v>
      </c>
      <c r="J2354" s="1">
        <v>1</v>
      </c>
      <c r="K2354" s="1">
        <v>1</v>
      </c>
      <c r="M2354" s="1">
        <v>557</v>
      </c>
      <c r="N2354" s="1">
        <v>538.85</v>
      </c>
      <c r="O2354" s="1">
        <v>799.19</v>
      </c>
      <c r="P2354" s="1">
        <v>260.33333333333297</v>
      </c>
      <c r="Q2354" s="1" t="s">
        <v>42</v>
      </c>
      <c r="S2354" s="1" t="s">
        <v>42</v>
      </c>
      <c r="T2354" s="1" t="s">
        <v>203</v>
      </c>
      <c r="U2354" s="1">
        <v>154</v>
      </c>
      <c r="V2354" s="5">
        <v>43631</v>
      </c>
      <c r="W2354" s="5">
        <v>42130</v>
      </c>
      <c r="X2354" s="1">
        <v>645000</v>
      </c>
      <c r="Y2354" s="1">
        <v>645000</v>
      </c>
      <c r="Z2354" s="5">
        <v>42284</v>
      </c>
      <c r="AA2354" s="1">
        <v>645000</v>
      </c>
      <c r="AB2354" s="1" t="s">
        <v>204</v>
      </c>
      <c r="AC2354" s="5">
        <v>42612</v>
      </c>
      <c r="AF2354" s="1">
        <v>10029</v>
      </c>
      <c r="AI2354" s="1" t="s">
        <v>154</v>
      </c>
      <c r="AJ2354" s="1">
        <v>2008</v>
      </c>
      <c r="AK2354" s="1" t="s">
        <v>87</v>
      </c>
      <c r="AL2354" s="1">
        <v>76</v>
      </c>
    </row>
    <row r="2355" spans="1:38" x14ac:dyDescent="0.2">
      <c r="A2355" s="2" t="str">
        <f>HYPERLINK("https://www.compass.com/listing/1810-3rd-avenue-unit-a7b-manhattan-ny-10029/4852306439655394689/","1810 3rd Ave, Unit A7B")</f>
        <v>1810 3rd Ave, Unit A7B</v>
      </c>
      <c r="B2355" s="2" t="str">
        <f t="shared" si="381"/>
        <v>The Art House Condominiums</v>
      </c>
      <c r="C2355" s="1" t="s">
        <v>82</v>
      </c>
      <c r="D2355" s="1" t="s">
        <v>41</v>
      </c>
      <c r="E2355" s="3">
        <v>645887</v>
      </c>
      <c r="F2355" s="1">
        <v>1076.4783333333301</v>
      </c>
      <c r="G2355" s="1">
        <v>4</v>
      </c>
      <c r="H2355" s="1">
        <v>2</v>
      </c>
      <c r="I2355" s="1">
        <v>1</v>
      </c>
      <c r="J2355" s="1">
        <v>1</v>
      </c>
      <c r="K2355" s="1">
        <v>1</v>
      </c>
      <c r="M2355" s="1">
        <v>600</v>
      </c>
      <c r="N2355" s="1">
        <v>604.64</v>
      </c>
      <c r="O2355" s="1">
        <v>896.76</v>
      </c>
      <c r="P2355" s="1">
        <v>292.08333333333297</v>
      </c>
      <c r="Q2355" s="1" t="s">
        <v>42</v>
      </c>
      <c r="S2355" s="1" t="s">
        <v>42</v>
      </c>
      <c r="T2355" s="1" t="s">
        <v>203</v>
      </c>
      <c r="U2355" s="1">
        <v>81</v>
      </c>
      <c r="V2355" s="5">
        <v>43641</v>
      </c>
      <c r="W2355" s="5">
        <v>42258</v>
      </c>
      <c r="X2355" s="1">
        <v>645887</v>
      </c>
      <c r="Y2355" s="1">
        <v>645887</v>
      </c>
      <c r="Z2355" s="5">
        <v>42339</v>
      </c>
      <c r="AA2355" s="1">
        <v>645887</v>
      </c>
      <c r="AB2355" s="1" t="s">
        <v>204</v>
      </c>
      <c r="AC2355" s="5">
        <v>42572</v>
      </c>
      <c r="AF2355" s="1">
        <v>10029</v>
      </c>
      <c r="AI2355" s="1" t="s">
        <v>1800</v>
      </c>
      <c r="AJ2355" s="1">
        <v>2008</v>
      </c>
      <c r="AK2355" s="1" t="s">
        <v>87</v>
      </c>
      <c r="AL2355" s="1">
        <v>76</v>
      </c>
    </row>
    <row r="2356" spans="1:38" x14ac:dyDescent="0.2">
      <c r="A2356" s="2" t="str">
        <f>HYPERLINK("https://www.compass.com/listing/1810-3rd-avenue-unit-a9c-manhattan-ny-10029/4852261222306809297/","1810 3rd Ave, Unit A9C")</f>
        <v>1810 3rd Ave, Unit A9C</v>
      </c>
      <c r="B2356" s="2" t="str">
        <f t="shared" si="381"/>
        <v>The Art House Condominiums</v>
      </c>
      <c r="C2356" s="1" t="s">
        <v>82</v>
      </c>
      <c r="D2356" s="1" t="s">
        <v>41</v>
      </c>
      <c r="E2356" s="3">
        <v>679250</v>
      </c>
      <c r="F2356" s="1">
        <v>1237.24954462659</v>
      </c>
      <c r="G2356" s="1">
        <v>3</v>
      </c>
      <c r="H2356" s="1">
        <v>1</v>
      </c>
      <c r="I2356" s="1">
        <v>1</v>
      </c>
      <c r="J2356" s="1">
        <v>1</v>
      </c>
      <c r="K2356" s="1">
        <v>1</v>
      </c>
      <c r="M2356" s="1">
        <v>549</v>
      </c>
      <c r="N2356" s="1">
        <v>729</v>
      </c>
      <c r="O2356" s="1">
        <v>1081</v>
      </c>
      <c r="P2356" s="1">
        <v>352</v>
      </c>
      <c r="Q2356" s="1" t="s">
        <v>42</v>
      </c>
      <c r="S2356" s="1" t="s">
        <v>42</v>
      </c>
      <c r="T2356" s="1" t="s">
        <v>203</v>
      </c>
      <c r="U2356" s="1">
        <v>42</v>
      </c>
      <c r="V2356" s="5">
        <v>43673</v>
      </c>
      <c r="W2356" s="5">
        <v>42201</v>
      </c>
      <c r="X2356" s="1">
        <v>679250</v>
      </c>
      <c r="Y2356" s="1">
        <v>679250</v>
      </c>
      <c r="Z2356" s="5">
        <v>42243</v>
      </c>
      <c r="AA2356" s="1">
        <v>679250</v>
      </c>
      <c r="AB2356" s="1" t="s">
        <v>204</v>
      </c>
      <c r="AC2356" s="5">
        <v>42580</v>
      </c>
      <c r="AF2356" s="1">
        <v>10029</v>
      </c>
      <c r="AI2356" s="1" t="s">
        <v>196</v>
      </c>
      <c r="AJ2356" s="1">
        <v>2008</v>
      </c>
      <c r="AK2356" s="1" t="s">
        <v>87</v>
      </c>
      <c r="AL2356" s="1">
        <v>76</v>
      </c>
    </row>
    <row r="2357" spans="1:38" x14ac:dyDescent="0.2">
      <c r="A2357" s="2" t="str">
        <f>HYPERLINK("https://www.compass.com/listing/1810-3rd-avenue-unit-a9d-manhattan-ny-10029/4852260385081791377/","1810 3rd Ave, Unit A9D")</f>
        <v>1810 3rd Ave, Unit A9D</v>
      </c>
      <c r="B2357" s="2" t="str">
        <f t="shared" si="381"/>
        <v>The Art House Condominiums</v>
      </c>
      <c r="C2357" s="1" t="s">
        <v>82</v>
      </c>
      <c r="D2357" s="1" t="s">
        <v>41</v>
      </c>
      <c r="E2357" s="3">
        <v>679250</v>
      </c>
      <c r="F2357" s="1">
        <v>1219.47935368043</v>
      </c>
      <c r="G2357" s="1">
        <v>4</v>
      </c>
      <c r="H2357" s="1">
        <v>1</v>
      </c>
      <c r="I2357" s="1">
        <v>1</v>
      </c>
      <c r="J2357" s="1">
        <v>1</v>
      </c>
      <c r="K2357" s="1">
        <v>1</v>
      </c>
      <c r="M2357" s="1">
        <v>557</v>
      </c>
      <c r="N2357" s="1">
        <v>729</v>
      </c>
      <c r="O2357" s="1">
        <v>1081</v>
      </c>
      <c r="P2357" s="1">
        <v>352</v>
      </c>
      <c r="Q2357" s="1" t="s">
        <v>42</v>
      </c>
      <c r="S2357" s="1" t="s">
        <v>42</v>
      </c>
      <c r="T2357" s="1" t="s">
        <v>203</v>
      </c>
      <c r="V2357" s="5">
        <v>43631</v>
      </c>
      <c r="W2357" s="5">
        <v>42242</v>
      </c>
      <c r="X2357" s="1">
        <v>679250</v>
      </c>
      <c r="Y2357" s="1">
        <v>679250</v>
      </c>
      <c r="Z2357" s="5">
        <v>42242</v>
      </c>
      <c r="AA2357" s="1">
        <v>679250</v>
      </c>
      <c r="AB2357" s="1" t="s">
        <v>204</v>
      </c>
      <c r="AC2357" s="5">
        <v>42535</v>
      </c>
      <c r="AF2357" s="1">
        <v>10029</v>
      </c>
      <c r="AI2357" s="1" t="s">
        <v>196</v>
      </c>
      <c r="AJ2357" s="1">
        <v>2008</v>
      </c>
      <c r="AK2357" s="1" t="s">
        <v>87</v>
      </c>
      <c r="AL2357" s="1">
        <v>76</v>
      </c>
    </row>
    <row r="2358" spans="1:38" x14ac:dyDescent="0.2">
      <c r="A2358" s="2" t="str">
        <f>HYPERLINK("https://www.compass.com/listing/1810-3rd-avenue-unit-b2d-manhattan-ny-10029/29427580377616145/","1810 3rd Ave, Unit B2D")</f>
        <v>1810 3rd Ave, Unit B2D</v>
      </c>
      <c r="B2358" s="2" t="str">
        <f t="shared" si="381"/>
        <v>The Art House Condominiums</v>
      </c>
      <c r="C2358" s="1" t="s">
        <v>82</v>
      </c>
      <c r="D2358" s="1" t="s">
        <v>41</v>
      </c>
      <c r="E2358" s="3">
        <v>725000</v>
      </c>
      <c r="F2358" s="1">
        <v>855.96221959858303</v>
      </c>
      <c r="G2358" s="1">
        <v>5</v>
      </c>
      <c r="H2358" s="1">
        <v>3</v>
      </c>
      <c r="I2358" s="1">
        <v>1</v>
      </c>
      <c r="J2358" s="1">
        <v>1</v>
      </c>
      <c r="K2358" s="1">
        <v>1</v>
      </c>
      <c r="M2358" s="1">
        <v>847</v>
      </c>
      <c r="N2358" s="1">
        <v>819.4</v>
      </c>
      <c r="O2358" s="1">
        <v>1215.28</v>
      </c>
      <c r="P2358" s="1">
        <v>395.916666666666</v>
      </c>
      <c r="Q2358" s="1" t="s">
        <v>42</v>
      </c>
      <c r="S2358" s="1" t="s">
        <v>42</v>
      </c>
      <c r="T2358" s="1" t="s">
        <v>203</v>
      </c>
      <c r="U2358" s="1">
        <v>104</v>
      </c>
      <c r="V2358" s="5">
        <v>42766</v>
      </c>
      <c r="W2358" s="5">
        <v>42403</v>
      </c>
      <c r="X2358" s="1">
        <v>775000</v>
      </c>
      <c r="Y2358" s="1">
        <v>775000</v>
      </c>
      <c r="AA2358" s="1">
        <v>725000</v>
      </c>
      <c r="AB2358" s="1" t="s">
        <v>1811</v>
      </c>
      <c r="AC2358" s="5">
        <v>42668</v>
      </c>
      <c r="AF2358" s="1">
        <v>10029</v>
      </c>
      <c r="AI2358" s="1" t="s">
        <v>154</v>
      </c>
      <c r="AJ2358" s="1">
        <v>2008</v>
      </c>
      <c r="AK2358" s="1" t="s">
        <v>87</v>
      </c>
      <c r="AL2358" s="1">
        <v>76</v>
      </c>
    </row>
    <row r="2359" spans="1:38" x14ac:dyDescent="0.2">
      <c r="A2359" s="2" t="str">
        <f>HYPERLINK("https://www.compass.com/listing/1810-3rd-avenue-unit-b2d-manhattan-ny-10029/803382799994195657/","1810 3rd Ave, Unit B2D")</f>
        <v>1810 3rd Ave, Unit B2D</v>
      </c>
      <c r="B2359" s="2" t="str">
        <f t="shared" si="381"/>
        <v>The Art House Condominiums</v>
      </c>
      <c r="C2359" s="1" t="s">
        <v>82</v>
      </c>
      <c r="D2359" s="1" t="s">
        <v>41</v>
      </c>
      <c r="E2359" s="3">
        <v>725000</v>
      </c>
      <c r="F2359" s="1">
        <v>855.96221959858303</v>
      </c>
      <c r="G2359" s="1">
        <v>5</v>
      </c>
      <c r="H2359" s="1">
        <v>3</v>
      </c>
      <c r="I2359" s="1">
        <v>1</v>
      </c>
      <c r="J2359" s="1">
        <v>1</v>
      </c>
      <c r="K2359" s="1">
        <v>1</v>
      </c>
      <c r="M2359" s="1">
        <v>847</v>
      </c>
      <c r="N2359" s="1">
        <v>820</v>
      </c>
      <c r="O2359" s="1">
        <v>1216</v>
      </c>
      <c r="P2359" s="1">
        <v>396</v>
      </c>
      <c r="Q2359" s="1" t="s">
        <v>42</v>
      </c>
      <c r="S2359" s="1" t="s">
        <v>42</v>
      </c>
      <c r="T2359" s="1" t="s">
        <v>203</v>
      </c>
      <c r="U2359" s="1">
        <v>85</v>
      </c>
      <c r="V2359" s="5">
        <v>42682</v>
      </c>
      <c r="W2359" s="5">
        <v>42507</v>
      </c>
      <c r="X2359" s="1">
        <v>715000</v>
      </c>
      <c r="Y2359" s="1">
        <v>715000</v>
      </c>
      <c r="Z2359" s="5">
        <v>42592</v>
      </c>
      <c r="AA2359" s="1">
        <v>725000</v>
      </c>
      <c r="AB2359" s="1" t="s">
        <v>1811</v>
      </c>
      <c r="AC2359" s="5">
        <v>42668</v>
      </c>
      <c r="AF2359" s="1">
        <v>10029</v>
      </c>
      <c r="AI2359" s="1" t="s">
        <v>154</v>
      </c>
      <c r="AJ2359" s="1">
        <v>2008</v>
      </c>
      <c r="AK2359" s="1" t="s">
        <v>87</v>
      </c>
      <c r="AL2359" s="1">
        <v>76</v>
      </c>
    </row>
    <row r="2360" spans="1:38" x14ac:dyDescent="0.2">
      <c r="A2360" s="2" t="str">
        <f>HYPERLINK("https://www.compass.com/listing/1810-3rd-avenue-unit-b5d-manhattan-ny-10029/803373674312473873/","1810 3rd Ave, Unit B5D")</f>
        <v>1810 3rd Ave, Unit B5D</v>
      </c>
      <c r="B2360" s="2" t="str">
        <f t="shared" si="381"/>
        <v>The Art House Condominiums</v>
      </c>
      <c r="C2360" s="1" t="s">
        <v>82</v>
      </c>
      <c r="D2360" s="1" t="s">
        <v>41</v>
      </c>
      <c r="E2360" s="3">
        <v>738231</v>
      </c>
      <c r="F2360" s="1">
        <v>871.58323494687102</v>
      </c>
      <c r="G2360" s="1">
        <v>5</v>
      </c>
      <c r="H2360" s="1">
        <v>3</v>
      </c>
      <c r="I2360" s="1">
        <v>1</v>
      </c>
      <c r="J2360" s="1">
        <v>1</v>
      </c>
      <c r="K2360" s="1">
        <v>1</v>
      </c>
      <c r="M2360" s="1">
        <v>847</v>
      </c>
      <c r="N2360" s="1">
        <v>820</v>
      </c>
      <c r="O2360" s="1">
        <v>1216</v>
      </c>
      <c r="P2360" s="1">
        <v>396</v>
      </c>
      <c r="Q2360" s="1" t="s">
        <v>42</v>
      </c>
      <c r="S2360" s="1" t="s">
        <v>42</v>
      </c>
      <c r="T2360" s="1" t="s">
        <v>203</v>
      </c>
      <c r="U2360" s="1">
        <v>62</v>
      </c>
      <c r="V2360" s="5">
        <v>42661</v>
      </c>
      <c r="W2360" s="5">
        <v>42507</v>
      </c>
      <c r="X2360" s="1">
        <v>750000</v>
      </c>
      <c r="Y2360" s="1">
        <v>750000</v>
      </c>
      <c r="Z2360" s="5">
        <v>42570</v>
      </c>
      <c r="AA2360" s="1">
        <v>738231</v>
      </c>
      <c r="AB2360" s="1" t="s">
        <v>204</v>
      </c>
      <c r="AC2360" s="5">
        <v>42642</v>
      </c>
      <c r="AF2360" s="1">
        <v>10029</v>
      </c>
      <c r="AI2360" s="1" t="s">
        <v>154</v>
      </c>
      <c r="AJ2360" s="1">
        <v>2008</v>
      </c>
      <c r="AK2360" s="1" t="s">
        <v>87</v>
      </c>
      <c r="AL2360" s="1">
        <v>76</v>
      </c>
    </row>
    <row r="2361" spans="1:38" x14ac:dyDescent="0.2">
      <c r="A2361" s="2" t="str">
        <f>HYPERLINK("https://www.compass.com/listing/1810-3rd-avenue-unit-a4d-manhattan-ny-10029/511753524588376049/","1810 3rd Ave, Unit A4D")</f>
        <v>1810 3rd Ave, Unit A4D</v>
      </c>
      <c r="B2361" s="2" t="str">
        <f t="shared" si="381"/>
        <v>The Art House Condominiums</v>
      </c>
      <c r="C2361" s="1" t="s">
        <v>82</v>
      </c>
      <c r="D2361" s="1" t="s">
        <v>41</v>
      </c>
      <c r="E2361" s="3">
        <v>695000</v>
      </c>
      <c r="F2361" s="1">
        <v>921.75066312997296</v>
      </c>
      <c r="G2361" s="1">
        <v>5.5</v>
      </c>
      <c r="H2361" s="1">
        <v>2</v>
      </c>
      <c r="I2361" s="1">
        <v>1</v>
      </c>
      <c r="J2361" s="1">
        <v>1</v>
      </c>
      <c r="K2361" s="1">
        <v>1</v>
      </c>
      <c r="M2361" s="1">
        <v>754</v>
      </c>
      <c r="N2361" s="1">
        <v>737</v>
      </c>
      <c r="O2361" s="1">
        <v>1407</v>
      </c>
      <c r="P2361" s="1">
        <v>670</v>
      </c>
      <c r="Q2361" s="1" t="s">
        <v>42</v>
      </c>
      <c r="S2361" s="1" t="s">
        <v>42</v>
      </c>
      <c r="T2361" s="1" t="s">
        <v>203</v>
      </c>
      <c r="U2361" s="1">
        <v>135</v>
      </c>
      <c r="V2361" s="5">
        <v>44341</v>
      </c>
      <c r="W2361" s="5">
        <v>43958</v>
      </c>
      <c r="X2361" s="1">
        <v>765000</v>
      </c>
      <c r="Y2361" s="1">
        <v>725000</v>
      </c>
      <c r="Z2361" s="5">
        <v>44156</v>
      </c>
      <c r="AA2361" s="1">
        <v>695000</v>
      </c>
      <c r="AB2361" s="1" t="s">
        <v>204</v>
      </c>
      <c r="AC2361" s="5">
        <v>44299</v>
      </c>
      <c r="AF2361" s="1">
        <v>10029</v>
      </c>
      <c r="AI2361" s="1" t="s">
        <v>1799</v>
      </c>
      <c r="AJ2361" s="1">
        <v>2008</v>
      </c>
      <c r="AK2361" s="1" t="s">
        <v>87</v>
      </c>
      <c r="AL2361" s="1">
        <v>76</v>
      </c>
    </row>
    <row r="2362" spans="1:38" x14ac:dyDescent="0.2">
      <c r="A2362" s="2" t="str">
        <f>HYPERLINK("https://www.compass.com/listing/1399-park-avenue-unit-14c-manhattan-ny-10029/253258152001260817/","1399 Park Ave, Unit 14C")</f>
        <v>1399 Park Ave, Unit 14C</v>
      </c>
      <c r="B2362" s="2" t="str">
        <f t="shared" ref="B2362:B2364" si="382">HYPERLINK("https://www.compass.com/building/1399-park-manhattan-ny/281988559521557189/","1399 Park")</f>
        <v>1399 Park</v>
      </c>
      <c r="C2362" s="1" t="s">
        <v>82</v>
      </c>
      <c r="D2362" s="1" t="s">
        <v>41</v>
      </c>
      <c r="E2362" s="3">
        <v>689000</v>
      </c>
      <c r="F2362" s="1">
        <v>1361.6600790513801</v>
      </c>
      <c r="G2362" s="1">
        <v>2</v>
      </c>
      <c r="H2362" s="1" t="s">
        <v>77</v>
      </c>
      <c r="I2362" s="1">
        <v>1</v>
      </c>
      <c r="J2362" s="1">
        <v>1</v>
      </c>
      <c r="K2362" s="1">
        <v>1</v>
      </c>
      <c r="M2362" s="1">
        <v>506</v>
      </c>
      <c r="N2362" s="1">
        <v>588</v>
      </c>
      <c r="O2362" s="1">
        <v>954</v>
      </c>
      <c r="P2362" s="1">
        <v>366</v>
      </c>
      <c r="Q2362" s="1" t="s">
        <v>42</v>
      </c>
      <c r="S2362" s="1" t="s">
        <v>42</v>
      </c>
      <c r="T2362" s="1" t="s">
        <v>203</v>
      </c>
      <c r="U2362" s="1">
        <v>210</v>
      </c>
      <c r="V2362" s="5">
        <v>43888</v>
      </c>
      <c r="W2362" s="5">
        <v>43587</v>
      </c>
      <c r="X2362" s="1">
        <v>695000</v>
      </c>
      <c r="Y2362" s="1">
        <v>695000</v>
      </c>
      <c r="Z2362" s="5">
        <v>43797</v>
      </c>
      <c r="AA2362" s="1">
        <v>689000</v>
      </c>
      <c r="AB2362" s="1" t="s">
        <v>1812</v>
      </c>
      <c r="AC2362" s="5">
        <v>43851</v>
      </c>
      <c r="AF2362" s="1">
        <v>10029</v>
      </c>
      <c r="AI2362" s="1" t="s">
        <v>163</v>
      </c>
      <c r="AJ2362" s="1">
        <v>2019</v>
      </c>
      <c r="AK2362" s="1" t="s">
        <v>87</v>
      </c>
      <c r="AL2362" s="1">
        <v>72</v>
      </c>
    </row>
    <row r="2363" spans="1:38" x14ac:dyDescent="0.2">
      <c r="A2363" s="2" t="str">
        <f>HYPERLINK("https://www.compass.com/listing/1399-park-avenue-unit-14f-manhattan-ny-10029/403721875634135745/","1399 Park Ave, Unit 14F")</f>
        <v>1399 Park Ave, Unit 14F</v>
      </c>
      <c r="B2363" s="2" t="str">
        <f t="shared" si="382"/>
        <v>1399 Park</v>
      </c>
      <c r="C2363" s="1" t="s">
        <v>82</v>
      </c>
      <c r="D2363" s="1" t="s">
        <v>41</v>
      </c>
      <c r="E2363" s="3">
        <v>685000</v>
      </c>
      <c r="F2363" s="1">
        <v>1155.14333895446</v>
      </c>
      <c r="G2363" s="1">
        <v>2</v>
      </c>
      <c r="H2363" s="1" t="s">
        <v>77</v>
      </c>
      <c r="I2363" s="1">
        <v>1</v>
      </c>
      <c r="J2363" s="1">
        <v>1</v>
      </c>
      <c r="K2363" s="1">
        <v>1</v>
      </c>
      <c r="M2363" s="1">
        <v>593</v>
      </c>
      <c r="N2363" s="1">
        <v>592.53</v>
      </c>
      <c r="O2363" s="1">
        <v>960.76</v>
      </c>
      <c r="P2363" s="1">
        <v>368.25</v>
      </c>
      <c r="Q2363" s="1" t="s">
        <v>42</v>
      </c>
      <c r="S2363" s="1" t="s">
        <v>42</v>
      </c>
      <c r="T2363" s="1" t="s">
        <v>203</v>
      </c>
      <c r="V2363" s="5">
        <v>44288</v>
      </c>
      <c r="W2363" s="5">
        <v>43808</v>
      </c>
      <c r="X2363" s="1">
        <v>685000</v>
      </c>
      <c r="Y2363" s="1">
        <v>685000</v>
      </c>
      <c r="AA2363" s="1">
        <v>685000</v>
      </c>
      <c r="AB2363" s="1" t="s">
        <v>1813</v>
      </c>
      <c r="AC2363" s="5">
        <v>44266</v>
      </c>
      <c r="AF2363" s="1">
        <v>10029</v>
      </c>
      <c r="AI2363" s="1" t="s">
        <v>52</v>
      </c>
      <c r="AJ2363" s="1">
        <v>2019</v>
      </c>
      <c r="AK2363" s="1" t="s">
        <v>87</v>
      </c>
      <c r="AL2363" s="1">
        <v>72</v>
      </c>
    </row>
    <row r="2364" spans="1:38" x14ac:dyDescent="0.2">
      <c r="A2364" s="2" t="str">
        <f>HYPERLINK("https://www.compass.com/listing/1399-park-avenue-unit-11g-manhattan-ny-10029/406696738317461969/","1399 Park Ave, Unit 11G")</f>
        <v>1399 Park Ave, Unit 11G</v>
      </c>
      <c r="B2364" s="2" t="str">
        <f t="shared" si="382"/>
        <v>1399 Park</v>
      </c>
      <c r="C2364" s="1" t="s">
        <v>82</v>
      </c>
      <c r="D2364" s="1" t="s">
        <v>41</v>
      </c>
      <c r="E2364" s="3">
        <v>695000</v>
      </c>
      <c r="F2364" s="1">
        <v>1326.33587786259</v>
      </c>
      <c r="G2364" s="1">
        <v>2</v>
      </c>
      <c r="H2364" s="1" t="s">
        <v>77</v>
      </c>
      <c r="I2364" s="1">
        <v>1</v>
      </c>
      <c r="J2364" s="1">
        <v>1</v>
      </c>
      <c r="K2364" s="1">
        <v>1</v>
      </c>
      <c r="M2364" s="1">
        <v>524</v>
      </c>
      <c r="N2364" s="1">
        <v>608</v>
      </c>
      <c r="O2364" s="1">
        <v>986</v>
      </c>
      <c r="P2364" s="1">
        <v>378</v>
      </c>
      <c r="Q2364" s="1" t="s">
        <v>42</v>
      </c>
      <c r="S2364" s="1" t="s">
        <v>42</v>
      </c>
      <c r="T2364" s="1" t="s">
        <v>203</v>
      </c>
      <c r="V2364" s="5">
        <v>44288</v>
      </c>
      <c r="W2364" s="5">
        <v>43812</v>
      </c>
      <c r="X2364" s="1">
        <v>695000</v>
      </c>
      <c r="Y2364" s="1">
        <v>695000</v>
      </c>
      <c r="AA2364" s="1">
        <v>695000</v>
      </c>
      <c r="AB2364" s="1" t="s">
        <v>1814</v>
      </c>
      <c r="AC2364" s="5">
        <v>44266</v>
      </c>
      <c r="AF2364" s="1">
        <v>10029</v>
      </c>
      <c r="AI2364" s="1" t="s">
        <v>52</v>
      </c>
      <c r="AJ2364" s="1">
        <v>2019</v>
      </c>
      <c r="AK2364" s="1" t="s">
        <v>87</v>
      </c>
      <c r="AL2364" s="1">
        <v>72</v>
      </c>
    </row>
    <row r="2365" spans="1:38" x14ac:dyDescent="0.2">
      <c r="A2365" s="2" t="str">
        <f>HYPERLINK("https://www.compass.com/listing/1810-3rd-avenue-unit-b7a-manhattan-ny-10029/4852262805262311681/","1810 3rd Ave, Unit B7A")</f>
        <v>1810 3rd Ave, Unit B7A</v>
      </c>
      <c r="B2365" s="2" t="str">
        <f t="shared" ref="B2365:B2370" si="383">HYPERLINK("https://www.compass.com/building/the-art-house-condominiums-manhattan-ny/281989881993998229/","The Art House Condominiums")</f>
        <v>The Art House Condominiums</v>
      </c>
      <c r="C2365" s="1" t="s">
        <v>82</v>
      </c>
      <c r="D2365" s="1" t="s">
        <v>41</v>
      </c>
      <c r="E2365" s="3">
        <v>785000</v>
      </c>
      <c r="F2365" s="1">
        <v>872.22222222222194</v>
      </c>
      <c r="G2365" s="1">
        <v>5</v>
      </c>
      <c r="H2365" s="1">
        <v>3</v>
      </c>
      <c r="I2365" s="1">
        <v>1</v>
      </c>
      <c r="J2365" s="1">
        <v>1</v>
      </c>
      <c r="K2365" s="1">
        <v>1</v>
      </c>
      <c r="M2365" s="1">
        <v>900</v>
      </c>
      <c r="N2365" s="1">
        <v>776.84</v>
      </c>
      <c r="O2365" s="1">
        <v>1152.1500000000001</v>
      </c>
      <c r="P2365" s="1">
        <v>375.33333333333297</v>
      </c>
      <c r="Q2365" s="1" t="s">
        <v>42</v>
      </c>
      <c r="S2365" s="1" t="s">
        <v>42</v>
      </c>
      <c r="T2365" s="1" t="s">
        <v>203</v>
      </c>
      <c r="V2365" s="5">
        <v>43631</v>
      </c>
      <c r="W2365" s="5">
        <v>42459</v>
      </c>
      <c r="X2365" s="1">
        <v>785000</v>
      </c>
      <c r="Y2365" s="1">
        <v>785000</v>
      </c>
      <c r="Z2365" s="5">
        <v>42459</v>
      </c>
      <c r="AA2365" s="1">
        <v>785000</v>
      </c>
      <c r="AB2365" s="1" t="s">
        <v>204</v>
      </c>
      <c r="AC2365" s="5">
        <v>42620</v>
      </c>
      <c r="AF2365" s="1">
        <v>10029</v>
      </c>
      <c r="AI2365" s="1" t="s">
        <v>1799</v>
      </c>
      <c r="AJ2365" s="1">
        <v>2008</v>
      </c>
      <c r="AK2365" s="1" t="s">
        <v>87</v>
      </c>
      <c r="AL2365" s="1">
        <v>76</v>
      </c>
    </row>
    <row r="2366" spans="1:38" x14ac:dyDescent="0.2">
      <c r="A2366" s="2" t="str">
        <f>HYPERLINK("https://www.compass.com/listing/1810-3rd-avenue-unit-b9a-manhattan-ny-10029/4852263013048132001/","1810 3rd Ave, Unit B9A")</f>
        <v>1810 3rd Ave, Unit B9A</v>
      </c>
      <c r="B2366" s="2" t="str">
        <f t="shared" si="383"/>
        <v>The Art House Condominiums</v>
      </c>
      <c r="C2366" s="1" t="s">
        <v>82</v>
      </c>
      <c r="D2366" s="1" t="s">
        <v>41</v>
      </c>
      <c r="E2366" s="3">
        <v>799000</v>
      </c>
      <c r="G2366" s="1">
        <v>5</v>
      </c>
      <c r="H2366" s="1">
        <v>3</v>
      </c>
      <c r="I2366" s="1">
        <v>1</v>
      </c>
      <c r="J2366" s="1">
        <v>1</v>
      </c>
      <c r="K2366" s="1">
        <v>1</v>
      </c>
      <c r="N2366" s="1">
        <v>776.84</v>
      </c>
      <c r="O2366" s="1">
        <v>1152.1500000000001</v>
      </c>
      <c r="P2366" s="1">
        <v>375.33333333333297</v>
      </c>
      <c r="Q2366" s="1" t="s">
        <v>42</v>
      </c>
      <c r="S2366" s="1" t="s">
        <v>42</v>
      </c>
      <c r="T2366" s="1" t="s">
        <v>203</v>
      </c>
      <c r="V2366" s="5">
        <v>43635</v>
      </c>
      <c r="W2366" s="5">
        <v>42488</v>
      </c>
      <c r="X2366" s="1">
        <v>825000</v>
      </c>
      <c r="Y2366" s="1">
        <v>825000</v>
      </c>
      <c r="Z2366" s="5">
        <v>42488</v>
      </c>
      <c r="AA2366" s="1">
        <v>799000</v>
      </c>
      <c r="AB2366" s="1" t="s">
        <v>204</v>
      </c>
      <c r="AC2366" s="5">
        <v>42629</v>
      </c>
      <c r="AF2366" s="1">
        <v>10029</v>
      </c>
      <c r="AI2366" s="1" t="s">
        <v>1799</v>
      </c>
      <c r="AJ2366" s="1">
        <v>2008</v>
      </c>
      <c r="AK2366" s="1" t="s">
        <v>87</v>
      </c>
      <c r="AL2366" s="1">
        <v>76</v>
      </c>
    </row>
    <row r="2367" spans="1:38" x14ac:dyDescent="0.2">
      <c r="A2367" s="2" t="str">
        <f>HYPERLINK("https://www.compass.com/listing/1810-3rd-avenue-unit-a6c-manhattan-ny-10029/4852288482908844177/","1810 3rd Ave, Unit A6C")</f>
        <v>1810 3rd Ave, Unit A6C</v>
      </c>
      <c r="B2367" s="2" t="str">
        <f t="shared" si="383"/>
        <v>The Art House Condominiums</v>
      </c>
      <c r="C2367" s="1" t="s">
        <v>82</v>
      </c>
      <c r="D2367" s="1" t="s">
        <v>41</v>
      </c>
      <c r="E2367" s="3">
        <v>837340</v>
      </c>
      <c r="G2367" s="1">
        <v>5</v>
      </c>
      <c r="H2367" s="1">
        <v>3</v>
      </c>
      <c r="I2367" s="1">
        <v>1</v>
      </c>
      <c r="J2367" s="1">
        <v>1</v>
      </c>
      <c r="K2367" s="1">
        <v>1</v>
      </c>
      <c r="N2367" s="1">
        <v>729</v>
      </c>
      <c r="O2367" s="1">
        <v>1081.4100000000001</v>
      </c>
      <c r="P2367" s="1">
        <v>352.416666666666</v>
      </c>
      <c r="Q2367" s="1" t="s">
        <v>42</v>
      </c>
      <c r="S2367" s="1" t="s">
        <v>42</v>
      </c>
      <c r="T2367" s="1" t="s">
        <v>203</v>
      </c>
      <c r="V2367" s="5">
        <v>43641</v>
      </c>
      <c r="W2367" s="5">
        <v>42201</v>
      </c>
      <c r="X2367" s="1">
        <v>837340</v>
      </c>
      <c r="Y2367" s="1">
        <v>837340</v>
      </c>
      <c r="Z2367" s="5">
        <v>42201</v>
      </c>
      <c r="AA2367" s="1">
        <v>837340</v>
      </c>
      <c r="AB2367" s="1" t="s">
        <v>204</v>
      </c>
      <c r="AC2367" s="5">
        <v>43090</v>
      </c>
      <c r="AF2367" s="1">
        <v>10029</v>
      </c>
      <c r="AI2367" s="1" t="s">
        <v>1799</v>
      </c>
      <c r="AJ2367" s="1">
        <v>2008</v>
      </c>
      <c r="AK2367" s="1" t="s">
        <v>87</v>
      </c>
      <c r="AL2367" s="1">
        <v>76</v>
      </c>
    </row>
    <row r="2368" spans="1:38" x14ac:dyDescent="0.2">
      <c r="A2368" s="2" t="str">
        <f>HYPERLINK("https://www.compass.com/listing/1810-3rd-avenue-unit-b5a-manhattan-ny-10029/4852307417548983745/","1810 3rd Ave, Unit B5A")</f>
        <v>1810 3rd Ave, Unit B5A</v>
      </c>
      <c r="B2368" s="2" t="str">
        <f t="shared" si="383"/>
        <v>The Art House Condominiums</v>
      </c>
      <c r="C2368" s="1" t="s">
        <v>82</v>
      </c>
      <c r="D2368" s="1" t="s">
        <v>41</v>
      </c>
      <c r="E2368" s="3">
        <v>807850</v>
      </c>
      <c r="F2368" s="1">
        <v>1041.0438144329801</v>
      </c>
      <c r="G2368" s="1">
        <v>4</v>
      </c>
      <c r="H2368" s="1">
        <v>3</v>
      </c>
      <c r="I2368" s="1">
        <v>1</v>
      </c>
      <c r="J2368" s="1">
        <v>1</v>
      </c>
      <c r="K2368" s="1">
        <v>1</v>
      </c>
      <c r="M2368" s="1">
        <v>776</v>
      </c>
      <c r="N2368" s="1">
        <v>776.84</v>
      </c>
      <c r="O2368" s="1">
        <v>1152.1500000000001</v>
      </c>
      <c r="P2368" s="1">
        <v>375.33333333333297</v>
      </c>
      <c r="Q2368" s="1" t="s">
        <v>42</v>
      </c>
      <c r="S2368" s="1" t="s">
        <v>42</v>
      </c>
      <c r="T2368" s="1" t="s">
        <v>203</v>
      </c>
      <c r="V2368" s="5">
        <v>43631</v>
      </c>
      <c r="W2368" s="5">
        <v>42311</v>
      </c>
      <c r="X2368" s="1">
        <v>807850</v>
      </c>
      <c r="Y2368" s="1">
        <v>807850</v>
      </c>
      <c r="Z2368" s="5">
        <v>42311</v>
      </c>
      <c r="AA2368" s="1">
        <v>807850</v>
      </c>
      <c r="AB2368" s="1" t="s">
        <v>204</v>
      </c>
      <c r="AC2368" s="5">
        <v>42543</v>
      </c>
      <c r="AF2368" s="1">
        <v>10029</v>
      </c>
      <c r="AI2368" s="1" t="s">
        <v>1800</v>
      </c>
      <c r="AJ2368" s="1">
        <v>2008</v>
      </c>
      <c r="AK2368" s="1" t="s">
        <v>87</v>
      </c>
      <c r="AL2368" s="1">
        <v>76</v>
      </c>
    </row>
    <row r="2369" spans="1:38" x14ac:dyDescent="0.2">
      <c r="A2369" s="2" t="str">
        <f>HYPERLINK("https://www.compass.com/listing/1810-3rd-avenue-unit-a8c-manhattan-ny-10029/4852270739526520817/","1810 3rd Ave, Unit A8C")</f>
        <v>1810 3rd Ave, Unit A8C</v>
      </c>
      <c r="B2369" s="2" t="str">
        <f t="shared" si="383"/>
        <v>The Art House Condominiums</v>
      </c>
      <c r="C2369" s="1" t="s">
        <v>82</v>
      </c>
      <c r="D2369" s="1" t="s">
        <v>41</v>
      </c>
      <c r="E2369" s="3">
        <v>795587</v>
      </c>
      <c r="F2369" s="1">
        <v>1055.1551724137901</v>
      </c>
      <c r="G2369" s="1">
        <v>4</v>
      </c>
      <c r="H2369" s="1">
        <v>2</v>
      </c>
      <c r="I2369" s="1">
        <v>1</v>
      </c>
      <c r="J2369" s="1">
        <v>1</v>
      </c>
      <c r="K2369" s="1">
        <v>1</v>
      </c>
      <c r="M2369" s="1">
        <v>754</v>
      </c>
      <c r="N2369" s="1">
        <v>729.43</v>
      </c>
      <c r="O2369" s="1">
        <v>1081.8399999999999</v>
      </c>
      <c r="P2369" s="1">
        <v>352.416666666666</v>
      </c>
      <c r="Q2369" s="1" t="s">
        <v>42</v>
      </c>
      <c r="S2369" s="1" t="s">
        <v>42</v>
      </c>
      <c r="T2369" s="1" t="s">
        <v>203</v>
      </c>
      <c r="U2369" s="1">
        <v>71</v>
      </c>
      <c r="V2369" s="5">
        <v>43673</v>
      </c>
      <c r="W2369" s="5">
        <v>42130</v>
      </c>
      <c r="X2369" s="1">
        <v>795587</v>
      </c>
      <c r="Y2369" s="1">
        <v>795587</v>
      </c>
      <c r="Z2369" s="5">
        <v>42319</v>
      </c>
      <c r="AA2369" s="1">
        <v>795587</v>
      </c>
      <c r="AB2369" s="1" t="s">
        <v>204</v>
      </c>
      <c r="AC2369" s="5">
        <v>42587</v>
      </c>
      <c r="AF2369" s="1">
        <v>10029</v>
      </c>
      <c r="AI2369" s="1" t="s">
        <v>154</v>
      </c>
      <c r="AJ2369" s="1">
        <v>2008</v>
      </c>
      <c r="AK2369" s="1" t="s">
        <v>87</v>
      </c>
      <c r="AL2369" s="1">
        <v>76</v>
      </c>
    </row>
    <row r="2370" spans="1:38" x14ac:dyDescent="0.2">
      <c r="A2370" s="2" t="str">
        <f>HYPERLINK("https://www.compass.com/listing/1810-3rd-avenue-unit-b3b-manhattan-ny-10029/803313841844789265/","1810 3rd Ave, Unit B3B")</f>
        <v>1810 3rd Ave, Unit B3B</v>
      </c>
      <c r="B2370" s="2" t="str">
        <f t="shared" si="383"/>
        <v>The Art House Condominiums</v>
      </c>
      <c r="C2370" s="1" t="s">
        <v>82</v>
      </c>
      <c r="D2370" s="1" t="s">
        <v>41</v>
      </c>
      <c r="E2370" s="3">
        <v>737000</v>
      </c>
      <c r="F2370" s="1">
        <v>929.38209331651899</v>
      </c>
      <c r="G2370" s="1">
        <v>3</v>
      </c>
      <c r="H2370" s="1">
        <v>1</v>
      </c>
      <c r="I2370" s="1">
        <v>1</v>
      </c>
      <c r="J2370" s="1">
        <v>1</v>
      </c>
      <c r="K2370" s="1">
        <v>1</v>
      </c>
      <c r="M2370" s="1">
        <v>793</v>
      </c>
      <c r="N2370" s="1">
        <v>767</v>
      </c>
      <c r="O2370" s="1">
        <v>1137</v>
      </c>
      <c r="P2370" s="1">
        <v>370</v>
      </c>
      <c r="Q2370" s="1" t="s">
        <v>42</v>
      </c>
      <c r="S2370" s="1" t="s">
        <v>42</v>
      </c>
      <c r="T2370" s="1" t="s">
        <v>203</v>
      </c>
      <c r="V2370" s="5">
        <v>42657</v>
      </c>
      <c r="W2370" s="5">
        <v>42241</v>
      </c>
      <c r="X2370" s="1">
        <v>736000</v>
      </c>
      <c r="Y2370" s="1">
        <v>736000</v>
      </c>
      <c r="Z2370" s="5">
        <v>42242</v>
      </c>
      <c r="AA2370" s="1">
        <v>737000</v>
      </c>
      <c r="AB2370" s="1" t="s">
        <v>204</v>
      </c>
      <c r="AC2370" s="5">
        <v>42640</v>
      </c>
      <c r="AF2370" s="1">
        <v>10029</v>
      </c>
      <c r="AI2370" s="1" t="s">
        <v>154</v>
      </c>
      <c r="AJ2370" s="1">
        <v>2008</v>
      </c>
      <c r="AK2370" s="1" t="s">
        <v>87</v>
      </c>
      <c r="AL2370" s="1">
        <v>76</v>
      </c>
    </row>
    <row r="2371" spans="1:38" x14ac:dyDescent="0.2">
      <c r="A2371" s="2" t="str">
        <f>HYPERLINK("https://www.compass.com/listing/1399-park-avenue-unit-8g-manhattan-ny-10029/29515039551575873/","1399 Park Ave, Unit 8G")</f>
        <v>1399 Park Ave, Unit 8G</v>
      </c>
      <c r="B2371" s="2" t="str">
        <f>HYPERLINK("https://www.compass.com/building/1399-park-manhattan-ny/281988559521557189/","1399 Park")</f>
        <v>1399 Park</v>
      </c>
      <c r="C2371" s="1" t="s">
        <v>82</v>
      </c>
      <c r="D2371" s="1" t="s">
        <v>41</v>
      </c>
      <c r="E2371" s="3">
        <v>685000</v>
      </c>
      <c r="F2371" s="1">
        <v>1307.2519083969401</v>
      </c>
      <c r="G2371" s="1">
        <v>2</v>
      </c>
      <c r="H2371" s="1" t="s">
        <v>77</v>
      </c>
      <c r="I2371" s="1">
        <v>1</v>
      </c>
      <c r="J2371" s="1">
        <v>1</v>
      </c>
      <c r="K2371" s="1">
        <v>1</v>
      </c>
      <c r="M2371" s="1">
        <v>524</v>
      </c>
      <c r="N2371" s="1">
        <v>608</v>
      </c>
      <c r="O2371" s="1">
        <v>949</v>
      </c>
      <c r="P2371" s="1">
        <v>341</v>
      </c>
      <c r="Q2371" s="1" t="s">
        <v>42</v>
      </c>
      <c r="S2371" s="1" t="s">
        <v>42</v>
      </c>
      <c r="T2371" s="1" t="s">
        <v>203</v>
      </c>
      <c r="U2371" s="1">
        <v>168</v>
      </c>
      <c r="V2371" s="5">
        <v>43696</v>
      </c>
      <c r="W2371" s="5">
        <v>42739</v>
      </c>
      <c r="X2371" s="1">
        <v>670000</v>
      </c>
      <c r="Y2371" s="1">
        <v>670000</v>
      </c>
      <c r="Z2371" s="5">
        <v>42969</v>
      </c>
      <c r="AA2371" s="1">
        <v>685000</v>
      </c>
      <c r="AB2371" s="1" t="s">
        <v>1815</v>
      </c>
      <c r="AC2371" s="5">
        <v>43649</v>
      </c>
      <c r="AF2371" s="1">
        <v>10029</v>
      </c>
      <c r="AI2371" s="1" t="s">
        <v>52</v>
      </c>
      <c r="AJ2371" s="1">
        <v>2019</v>
      </c>
      <c r="AK2371" s="1" t="s">
        <v>87</v>
      </c>
      <c r="AL2371" s="1">
        <v>72</v>
      </c>
    </row>
    <row r="2372" spans="1:38" x14ac:dyDescent="0.2">
      <c r="A2372" s="2" t="str">
        <f>HYPERLINK("https://www.compass.com/listing/1810-3rd-avenue-unit-b6b-manhattan-ny-10029/4852270715778370097/","1810 3rd Ave, Unit B6B")</f>
        <v>1810 3rd Ave, Unit B6B</v>
      </c>
      <c r="B2372" s="2" t="str">
        <f t="shared" ref="B2372:B2378" si="384">HYPERLINK("https://www.compass.com/building/the-art-house-condominiums-manhattan-ny/281989881993998229/","The Art House Condominiums")</f>
        <v>The Art House Condominiums</v>
      </c>
      <c r="C2372" s="1" t="s">
        <v>82</v>
      </c>
      <c r="D2372" s="1" t="s">
        <v>41</v>
      </c>
      <c r="E2372" s="3">
        <v>787968</v>
      </c>
      <c r="F2372" s="1">
        <v>993.65447667087005</v>
      </c>
      <c r="G2372" s="1">
        <v>5</v>
      </c>
      <c r="H2372" s="1">
        <v>3</v>
      </c>
      <c r="I2372" s="1">
        <v>1</v>
      </c>
      <c r="J2372" s="1">
        <v>1</v>
      </c>
      <c r="K2372" s="1">
        <v>1</v>
      </c>
      <c r="M2372" s="1">
        <v>793</v>
      </c>
      <c r="N2372" s="1">
        <v>767.16</v>
      </c>
      <c r="O2372" s="1">
        <v>1137.8</v>
      </c>
      <c r="P2372" s="1">
        <v>370.666666666666</v>
      </c>
      <c r="Q2372" s="1" t="s">
        <v>42</v>
      </c>
      <c r="S2372" s="1" t="s">
        <v>42</v>
      </c>
      <c r="T2372" s="1" t="s">
        <v>203</v>
      </c>
      <c r="U2372" s="1">
        <v>85</v>
      </c>
      <c r="V2372" s="5">
        <v>43635</v>
      </c>
      <c r="W2372" s="5">
        <v>42136</v>
      </c>
      <c r="X2372" s="1">
        <v>787968</v>
      </c>
      <c r="Y2372" s="1">
        <v>787968</v>
      </c>
      <c r="Z2372" s="5">
        <v>42221</v>
      </c>
      <c r="AA2372" s="1">
        <v>787968</v>
      </c>
      <c r="AB2372" s="1" t="s">
        <v>204</v>
      </c>
      <c r="AC2372" s="5">
        <v>42600</v>
      </c>
      <c r="AF2372" s="1">
        <v>10029</v>
      </c>
      <c r="AI2372" s="1" t="s">
        <v>154</v>
      </c>
      <c r="AJ2372" s="1">
        <v>2008</v>
      </c>
      <c r="AK2372" s="1" t="s">
        <v>87</v>
      </c>
      <c r="AL2372" s="1">
        <v>76</v>
      </c>
    </row>
    <row r="2373" spans="1:38" x14ac:dyDescent="0.2">
      <c r="A2373" s="2" t="str">
        <f>HYPERLINK("https://www.compass.com/listing/1810-3rd-avenue-unit-b5b-manhattan-ny-10029/4852288213340919889/","1810 3rd Ave, Unit B5B")</f>
        <v>1810 3rd Ave, Unit B5B</v>
      </c>
      <c r="B2373" s="2" t="str">
        <f t="shared" si="384"/>
        <v>The Art House Condominiums</v>
      </c>
      <c r="C2373" s="1" t="s">
        <v>82</v>
      </c>
      <c r="D2373" s="1" t="s">
        <v>41</v>
      </c>
      <c r="E2373" s="3">
        <v>799000</v>
      </c>
      <c r="F2373" s="1">
        <v>1007.56620428751</v>
      </c>
      <c r="G2373" s="1">
        <v>3</v>
      </c>
      <c r="H2373" s="1">
        <v>3</v>
      </c>
      <c r="I2373" s="1">
        <v>1</v>
      </c>
      <c r="J2373" s="1">
        <v>1</v>
      </c>
      <c r="K2373" s="1">
        <v>1</v>
      </c>
      <c r="M2373" s="1">
        <v>793</v>
      </c>
      <c r="N2373" s="1">
        <v>767.16</v>
      </c>
      <c r="O2373" s="1">
        <v>1137.8</v>
      </c>
      <c r="P2373" s="1">
        <v>370.666666666666</v>
      </c>
      <c r="Q2373" s="1" t="s">
        <v>42</v>
      </c>
      <c r="S2373" s="1" t="s">
        <v>42</v>
      </c>
      <c r="T2373" s="1" t="s">
        <v>203</v>
      </c>
      <c r="U2373" s="1">
        <v>15</v>
      </c>
      <c r="V2373" s="5">
        <v>43673</v>
      </c>
      <c r="W2373" s="5">
        <v>42297</v>
      </c>
      <c r="X2373" s="1">
        <v>799000</v>
      </c>
      <c r="Y2373" s="1">
        <v>799000</v>
      </c>
      <c r="Z2373" s="5">
        <v>42312</v>
      </c>
      <c r="AA2373" s="1">
        <v>799000</v>
      </c>
      <c r="AB2373" s="1" t="s">
        <v>204</v>
      </c>
      <c r="AC2373" s="5">
        <v>42580</v>
      </c>
      <c r="AF2373" s="1">
        <v>10029</v>
      </c>
      <c r="AI2373" s="1" t="s">
        <v>154</v>
      </c>
      <c r="AJ2373" s="1">
        <v>2008</v>
      </c>
      <c r="AK2373" s="1" t="s">
        <v>87</v>
      </c>
      <c r="AL2373" s="1">
        <v>76</v>
      </c>
    </row>
    <row r="2374" spans="1:38" x14ac:dyDescent="0.2">
      <c r="A2374" s="2" t="str">
        <f>HYPERLINK("https://www.compass.com/listing/1810-3rd-avenue-unit-b4a-manhattan-ny-10029/4852321981615314545/","1810 3rd Ave, Unit B4A")</f>
        <v>1810 3rd Ave, Unit B4A</v>
      </c>
      <c r="B2374" s="2" t="str">
        <f t="shared" si="384"/>
        <v>The Art House Condominiums</v>
      </c>
      <c r="C2374" s="1" t="s">
        <v>82</v>
      </c>
      <c r="D2374" s="1" t="s">
        <v>41</v>
      </c>
      <c r="E2374" s="3">
        <v>745000</v>
      </c>
      <c r="F2374" s="1">
        <v>960.05154639175203</v>
      </c>
      <c r="G2374" s="1">
        <v>3</v>
      </c>
      <c r="H2374" s="1">
        <v>3</v>
      </c>
      <c r="I2374" s="1">
        <v>1</v>
      </c>
      <c r="J2374" s="1">
        <v>1</v>
      </c>
      <c r="K2374" s="1">
        <v>1</v>
      </c>
      <c r="M2374" s="1">
        <v>776</v>
      </c>
      <c r="N2374" s="1">
        <v>776.84</v>
      </c>
      <c r="O2374" s="1">
        <v>1152.1500000000001</v>
      </c>
      <c r="P2374" s="1">
        <v>375.33333333333297</v>
      </c>
      <c r="Q2374" s="1" t="s">
        <v>42</v>
      </c>
      <c r="S2374" s="1" t="s">
        <v>42</v>
      </c>
      <c r="T2374" s="1" t="s">
        <v>203</v>
      </c>
      <c r="U2374" s="1">
        <v>104</v>
      </c>
      <c r="V2374" s="5">
        <v>42543</v>
      </c>
      <c r="W2374" s="5">
        <v>42293</v>
      </c>
      <c r="X2374" s="1">
        <v>745000</v>
      </c>
      <c r="Y2374" s="1">
        <v>745000</v>
      </c>
      <c r="Z2374" s="5">
        <v>42398</v>
      </c>
      <c r="AA2374" s="1">
        <v>745000</v>
      </c>
      <c r="AB2374" s="1" t="s">
        <v>204</v>
      </c>
      <c r="AC2374" s="5">
        <v>42536</v>
      </c>
      <c r="AF2374" s="1">
        <v>10029</v>
      </c>
      <c r="AI2374" s="1" t="s">
        <v>1800</v>
      </c>
      <c r="AJ2374" s="1">
        <v>2008</v>
      </c>
      <c r="AK2374" s="1" t="s">
        <v>87</v>
      </c>
      <c r="AL2374" s="1">
        <v>76</v>
      </c>
    </row>
    <row r="2375" spans="1:38" x14ac:dyDescent="0.2">
      <c r="A2375" s="2" t="str">
        <f>HYPERLINK("https://www.compass.com/listing/1810-3rd-avenue-unit-b9d-manhattan-ny-10029/801627414421357081/","1810 3rd Ave, Unit B9D")</f>
        <v>1810 3rd Ave, Unit B9D</v>
      </c>
      <c r="B2375" s="2" t="str">
        <f t="shared" si="384"/>
        <v>The Art House Condominiums</v>
      </c>
      <c r="C2375" s="1" t="s">
        <v>82</v>
      </c>
      <c r="D2375" s="1" t="s">
        <v>41</v>
      </c>
      <c r="E2375" s="3">
        <v>765000</v>
      </c>
      <c r="G2375" s="1">
        <v>5</v>
      </c>
      <c r="H2375" s="1">
        <v>3</v>
      </c>
      <c r="I2375" s="1">
        <v>1</v>
      </c>
      <c r="J2375" s="1">
        <v>1</v>
      </c>
      <c r="K2375" s="1">
        <v>1</v>
      </c>
      <c r="N2375" s="1">
        <v>820</v>
      </c>
      <c r="O2375" s="1">
        <v>1216</v>
      </c>
      <c r="P2375" s="1">
        <v>396</v>
      </c>
      <c r="Q2375" s="1" t="s">
        <v>42</v>
      </c>
      <c r="S2375" s="1" t="s">
        <v>42</v>
      </c>
      <c r="T2375" s="1" t="s">
        <v>203</v>
      </c>
      <c r="U2375" s="1">
        <v>168</v>
      </c>
      <c r="V2375" s="5">
        <v>42718</v>
      </c>
      <c r="W2375" s="5">
        <v>42507</v>
      </c>
      <c r="X2375" s="1">
        <v>800000</v>
      </c>
      <c r="Y2375" s="1">
        <v>800000</v>
      </c>
      <c r="Z2375" s="5">
        <v>42675</v>
      </c>
      <c r="AA2375" s="1">
        <v>765000</v>
      </c>
      <c r="AB2375" s="1" t="s">
        <v>204</v>
      </c>
      <c r="AC2375" s="5">
        <v>42710</v>
      </c>
      <c r="AF2375" s="1">
        <v>10029</v>
      </c>
      <c r="AI2375" s="1" t="s">
        <v>154</v>
      </c>
      <c r="AJ2375" s="1">
        <v>2008</v>
      </c>
      <c r="AK2375" s="1" t="s">
        <v>87</v>
      </c>
      <c r="AL2375" s="1">
        <v>76</v>
      </c>
    </row>
    <row r="2376" spans="1:38" x14ac:dyDescent="0.2">
      <c r="A2376" s="2" t="str">
        <f>HYPERLINK("https://www.compass.com/listing/1810-3rd-avenue-unit-b4d-manhattan-ny-10029/803337130398813969/","1810 3rd Ave, Unit B4D")</f>
        <v>1810 3rd Ave, Unit B4D</v>
      </c>
      <c r="B2376" s="2" t="str">
        <f t="shared" si="384"/>
        <v>The Art House Condominiums</v>
      </c>
      <c r="C2376" s="1" t="s">
        <v>82</v>
      </c>
      <c r="D2376" s="1" t="s">
        <v>41</v>
      </c>
      <c r="E2376" s="3">
        <v>750000</v>
      </c>
      <c r="F2376" s="1">
        <v>885.47815820543099</v>
      </c>
      <c r="G2376" s="1">
        <v>5</v>
      </c>
      <c r="H2376" s="1">
        <v>3</v>
      </c>
      <c r="I2376" s="1">
        <v>1</v>
      </c>
      <c r="J2376" s="1">
        <v>1</v>
      </c>
      <c r="K2376" s="1">
        <v>1</v>
      </c>
      <c r="M2376" s="1">
        <v>847</v>
      </c>
      <c r="N2376" s="1">
        <v>820</v>
      </c>
      <c r="O2376" s="1">
        <v>1216</v>
      </c>
      <c r="P2376" s="1">
        <v>396</v>
      </c>
      <c r="Q2376" s="1" t="s">
        <v>42</v>
      </c>
      <c r="S2376" s="1" t="s">
        <v>42</v>
      </c>
      <c r="T2376" s="1" t="s">
        <v>203</v>
      </c>
      <c r="U2376" s="1">
        <v>14</v>
      </c>
      <c r="V2376" s="5">
        <v>42580</v>
      </c>
      <c r="W2376" s="5">
        <v>42507</v>
      </c>
      <c r="X2376" s="1">
        <v>740000</v>
      </c>
      <c r="Y2376" s="1">
        <v>740000</v>
      </c>
      <c r="Z2376" s="5">
        <v>42522</v>
      </c>
      <c r="AA2376" s="1">
        <v>750000</v>
      </c>
      <c r="AB2376" s="1" t="s">
        <v>204</v>
      </c>
      <c r="AC2376" s="5">
        <v>42577</v>
      </c>
      <c r="AF2376" s="1">
        <v>10029</v>
      </c>
      <c r="AI2376" s="1" t="s">
        <v>154</v>
      </c>
      <c r="AJ2376" s="1">
        <v>2008</v>
      </c>
      <c r="AK2376" s="1" t="s">
        <v>87</v>
      </c>
      <c r="AL2376" s="1">
        <v>76</v>
      </c>
    </row>
    <row r="2377" spans="1:38" x14ac:dyDescent="0.2">
      <c r="A2377" s="2" t="str">
        <f>HYPERLINK("https://www.compass.com/listing/1810-3rd-avenue-unit-b7d-manhattan-ny-10029/803384249822492849/","1810 3rd Ave, Unit B7D")</f>
        <v>1810 3rd Ave, Unit B7D</v>
      </c>
      <c r="B2377" s="2" t="str">
        <f t="shared" si="384"/>
        <v>The Art House Condominiums</v>
      </c>
      <c r="C2377" s="1" t="s">
        <v>82</v>
      </c>
      <c r="D2377" s="1" t="s">
        <v>41</v>
      </c>
      <c r="E2377" s="3">
        <v>760000</v>
      </c>
      <c r="F2377" s="1">
        <v>897.28453364817005</v>
      </c>
      <c r="G2377" s="1">
        <v>5</v>
      </c>
      <c r="H2377" s="1">
        <v>3</v>
      </c>
      <c r="I2377" s="1">
        <v>1</v>
      </c>
      <c r="J2377" s="1">
        <v>1</v>
      </c>
      <c r="K2377" s="1">
        <v>1</v>
      </c>
      <c r="M2377" s="1">
        <v>847</v>
      </c>
      <c r="N2377" s="1">
        <v>820</v>
      </c>
      <c r="O2377" s="1">
        <v>1216</v>
      </c>
      <c r="P2377" s="1">
        <v>396</v>
      </c>
      <c r="Q2377" s="1" t="s">
        <v>42</v>
      </c>
      <c r="S2377" s="1" t="s">
        <v>42</v>
      </c>
      <c r="T2377" s="1" t="s">
        <v>203</v>
      </c>
      <c r="U2377" s="1">
        <v>87</v>
      </c>
      <c r="V2377" s="5">
        <v>42662</v>
      </c>
      <c r="W2377" s="5">
        <v>42507</v>
      </c>
      <c r="X2377" s="1">
        <v>770000</v>
      </c>
      <c r="Y2377" s="1">
        <v>770000</v>
      </c>
      <c r="Z2377" s="5">
        <v>42595</v>
      </c>
      <c r="AA2377" s="1">
        <v>760000</v>
      </c>
      <c r="AB2377" s="1" t="s">
        <v>204</v>
      </c>
      <c r="AC2377" s="5">
        <v>42656</v>
      </c>
      <c r="AF2377" s="1">
        <v>10029</v>
      </c>
      <c r="AI2377" s="1" t="s">
        <v>154</v>
      </c>
      <c r="AJ2377" s="1">
        <v>2008</v>
      </c>
      <c r="AK2377" s="1" t="s">
        <v>87</v>
      </c>
      <c r="AL2377" s="1">
        <v>76</v>
      </c>
    </row>
    <row r="2378" spans="1:38" x14ac:dyDescent="0.2">
      <c r="A2378" s="2" t="str">
        <f>HYPERLINK("https://www.compass.com/listing/1810-3rd-avenue-unit-b6d-manhattan-ny-10029/803387920777978897/","1810 3rd Ave, Unit B6D")</f>
        <v>1810 3rd Ave, Unit B6D</v>
      </c>
      <c r="B2378" s="2" t="str">
        <f t="shared" si="384"/>
        <v>The Art House Condominiums</v>
      </c>
      <c r="C2378" s="1" t="s">
        <v>82</v>
      </c>
      <c r="D2378" s="1" t="s">
        <v>41</v>
      </c>
      <c r="E2378" s="3">
        <v>750000</v>
      </c>
      <c r="F2378" s="1">
        <v>885.47815820543099</v>
      </c>
      <c r="G2378" s="1">
        <v>5</v>
      </c>
      <c r="H2378" s="1">
        <v>3</v>
      </c>
      <c r="I2378" s="1">
        <v>1</v>
      </c>
      <c r="J2378" s="1">
        <v>1</v>
      </c>
      <c r="K2378" s="1">
        <v>1</v>
      </c>
      <c r="M2378" s="1">
        <v>847</v>
      </c>
      <c r="N2378" s="1">
        <v>820</v>
      </c>
      <c r="O2378" s="1">
        <v>1216</v>
      </c>
      <c r="P2378" s="1">
        <v>396</v>
      </c>
      <c r="Q2378" s="1" t="s">
        <v>42</v>
      </c>
      <c r="S2378" s="1" t="s">
        <v>42</v>
      </c>
      <c r="T2378" s="1" t="s">
        <v>203</v>
      </c>
      <c r="U2378" s="1">
        <v>62</v>
      </c>
      <c r="V2378" s="5">
        <v>42642</v>
      </c>
      <c r="W2378" s="5">
        <v>42507</v>
      </c>
      <c r="X2378" s="1">
        <v>760000</v>
      </c>
      <c r="Y2378" s="1">
        <v>760000</v>
      </c>
      <c r="Z2378" s="5">
        <v>42570</v>
      </c>
      <c r="AA2378" s="1">
        <v>750000</v>
      </c>
      <c r="AB2378" s="1" t="s">
        <v>204</v>
      </c>
      <c r="AC2378" s="5">
        <v>42633</v>
      </c>
      <c r="AF2378" s="1">
        <v>10029</v>
      </c>
      <c r="AI2378" s="1" t="s">
        <v>154</v>
      </c>
      <c r="AJ2378" s="1">
        <v>2008</v>
      </c>
      <c r="AK2378" s="1" t="s">
        <v>87</v>
      </c>
      <c r="AL2378" s="1">
        <v>76</v>
      </c>
    </row>
    <row r="2379" spans="1:38" x14ac:dyDescent="0.2">
      <c r="A2379" s="2" t="str">
        <f>HYPERLINK("https://www.compass.com/listing/1399-park-avenue-unit-14c-manhattan-ny-10029/461285884894658497/","1399 Park Ave, Unit 14C")</f>
        <v>1399 Park Ave, Unit 14C</v>
      </c>
      <c r="B2379" s="2" t="str">
        <f t="shared" ref="B2379:B2381" si="385">HYPERLINK("https://www.compass.com/building/1399-park-manhattan-ny/281988559521557189/","1399 Park")</f>
        <v>1399 Park</v>
      </c>
      <c r="C2379" s="1" t="s">
        <v>82</v>
      </c>
      <c r="D2379" s="1" t="s">
        <v>41</v>
      </c>
      <c r="E2379" s="3">
        <v>695000</v>
      </c>
      <c r="F2379" s="1">
        <v>1373.51778656126</v>
      </c>
      <c r="G2379" s="1">
        <v>2</v>
      </c>
      <c r="H2379" s="1" t="s">
        <v>77</v>
      </c>
      <c r="J2379" s="1">
        <v>1</v>
      </c>
      <c r="M2379" s="1">
        <v>506</v>
      </c>
      <c r="S2379" s="1" t="s">
        <v>42</v>
      </c>
      <c r="T2379" s="1" t="s">
        <v>203</v>
      </c>
      <c r="U2379" s="1">
        <v>210</v>
      </c>
      <c r="V2379" s="5">
        <v>44414</v>
      </c>
      <c r="W2379" s="5">
        <v>43586</v>
      </c>
      <c r="X2379" s="1">
        <v>695000</v>
      </c>
      <c r="Y2379" s="1">
        <v>695000</v>
      </c>
      <c r="Z2379" s="5">
        <v>43796</v>
      </c>
      <c r="AA2379" s="1">
        <v>695000</v>
      </c>
      <c r="AB2379" s="1" t="s">
        <v>204</v>
      </c>
      <c r="AC2379" s="5">
        <v>44285</v>
      </c>
      <c r="AF2379" s="1">
        <v>10029</v>
      </c>
      <c r="AI2379" s="1" t="s">
        <v>99</v>
      </c>
      <c r="AJ2379" s="1">
        <v>2019</v>
      </c>
      <c r="AK2379" s="1" t="s">
        <v>55</v>
      </c>
      <c r="AL2379" s="1">
        <v>72</v>
      </c>
    </row>
    <row r="2380" spans="1:38" x14ac:dyDescent="0.2">
      <c r="A2380" s="2" t="str">
        <f>HYPERLINK("https://www.compass.com/listing/1399-park-avenue-unit-10g-manhattan-ny-10029/748975110119402257/","1399 Park Ave, Unit 10G")</f>
        <v>1399 Park Ave, Unit 10G</v>
      </c>
      <c r="B2380" s="2" t="str">
        <f t="shared" si="385"/>
        <v>1399 Park</v>
      </c>
      <c r="C2380" s="1" t="s">
        <v>82</v>
      </c>
      <c r="D2380" s="1" t="s">
        <v>41</v>
      </c>
      <c r="E2380" s="3">
        <v>690000</v>
      </c>
      <c r="F2380" s="1">
        <v>1324.3761996161199</v>
      </c>
      <c r="H2380" s="1" t="s">
        <v>77</v>
      </c>
      <c r="J2380" s="1">
        <v>1</v>
      </c>
      <c r="K2380" s="1">
        <v>1</v>
      </c>
      <c r="M2380" s="1">
        <v>521</v>
      </c>
      <c r="N2380" s="1">
        <v>605</v>
      </c>
      <c r="O2380" s="1">
        <v>944</v>
      </c>
      <c r="P2380" s="1">
        <v>339</v>
      </c>
      <c r="Q2380" s="1" t="s">
        <v>42</v>
      </c>
      <c r="S2380" s="1" t="s">
        <v>42</v>
      </c>
      <c r="T2380" s="1" t="s">
        <v>203</v>
      </c>
      <c r="AA2380" s="1">
        <v>690000</v>
      </c>
      <c r="AB2380" s="1" t="s">
        <v>1816</v>
      </c>
      <c r="AC2380" s="5">
        <v>44266</v>
      </c>
      <c r="AF2380" s="1">
        <v>10029</v>
      </c>
      <c r="AI2380" s="1" t="s">
        <v>52</v>
      </c>
      <c r="AJ2380" s="1">
        <v>2019</v>
      </c>
      <c r="AK2380" s="1" t="s">
        <v>55</v>
      </c>
      <c r="AL2380" s="1">
        <v>72</v>
      </c>
    </row>
    <row r="2381" spans="1:38" x14ac:dyDescent="0.2">
      <c r="A2381" s="2" t="str">
        <f>HYPERLINK("https://www.compass.com/listing/1399-park-avenue-unit-9g-manhattan-ny-10029/841542648133667665/","1399 Park Ave, Unit 9G")</f>
        <v>1399 Park Ave, Unit 9G</v>
      </c>
      <c r="B2381" s="2" t="str">
        <f t="shared" si="385"/>
        <v>1399 Park</v>
      </c>
      <c r="C2381" s="1" t="s">
        <v>82</v>
      </c>
      <c r="D2381" s="1" t="s">
        <v>41</v>
      </c>
      <c r="E2381" s="3">
        <v>685209</v>
      </c>
      <c r="F2381" s="1">
        <v>1315.1811516314699</v>
      </c>
      <c r="H2381" s="1" t="s">
        <v>77</v>
      </c>
      <c r="J2381" s="1">
        <v>1</v>
      </c>
      <c r="K2381" s="1">
        <v>1</v>
      </c>
      <c r="M2381" s="1">
        <v>521</v>
      </c>
      <c r="N2381" s="1">
        <v>604.57000000000005</v>
      </c>
      <c r="O2381" s="1">
        <v>979.78</v>
      </c>
      <c r="P2381" s="1">
        <v>375.25</v>
      </c>
      <c r="Q2381" s="1" t="s">
        <v>42</v>
      </c>
      <c r="S2381" s="1" t="s">
        <v>42</v>
      </c>
      <c r="T2381" s="1" t="s">
        <v>203</v>
      </c>
      <c r="AA2381" s="1">
        <v>685209.38</v>
      </c>
      <c r="AB2381" s="1" t="s">
        <v>1817</v>
      </c>
      <c r="AC2381" s="5">
        <v>44337</v>
      </c>
      <c r="AF2381" s="1">
        <v>10029</v>
      </c>
      <c r="AI2381" s="1" t="s">
        <v>52</v>
      </c>
      <c r="AJ2381" s="1">
        <v>2019</v>
      </c>
      <c r="AK2381" s="1" t="s">
        <v>55</v>
      </c>
      <c r="AL2381" s="1">
        <v>72</v>
      </c>
    </row>
    <row r="2382" spans="1:38" x14ac:dyDescent="0.2">
      <c r="A2382" s="2" t="str">
        <f>HYPERLINK("https://www.compass.com/listing/1810-3rd-avenue-unit-b8d-manhattan-ny-10029/29670009714273569/","1810 3rd Ave, Unit B8D")</f>
        <v>1810 3rd Ave, Unit B8D</v>
      </c>
      <c r="B2382" s="2" t="str">
        <f t="shared" ref="B2382:B2386" si="386">HYPERLINK("https://www.compass.com/building/the-art-house-condominiums-manhattan-ny/281989881993998229/","The Art House Condominiums")</f>
        <v>The Art House Condominiums</v>
      </c>
      <c r="C2382" s="1" t="s">
        <v>82</v>
      </c>
      <c r="D2382" s="1" t="s">
        <v>41</v>
      </c>
      <c r="E2382" s="3">
        <v>790000</v>
      </c>
      <c r="F2382" s="1">
        <v>932.70365997638703</v>
      </c>
      <c r="G2382" s="1">
        <v>5</v>
      </c>
      <c r="H2382" s="1">
        <v>3</v>
      </c>
      <c r="I2382" s="1">
        <v>1</v>
      </c>
      <c r="J2382" s="1">
        <v>1</v>
      </c>
      <c r="K2382" s="1">
        <v>1</v>
      </c>
      <c r="M2382" s="1">
        <v>847</v>
      </c>
      <c r="N2382" s="1">
        <v>820</v>
      </c>
      <c r="O2382" s="1">
        <v>1216</v>
      </c>
      <c r="P2382" s="1">
        <v>396</v>
      </c>
      <c r="Q2382" s="1" t="s">
        <v>42</v>
      </c>
      <c r="S2382" s="1" t="s">
        <v>42</v>
      </c>
      <c r="T2382" s="1" t="s">
        <v>203</v>
      </c>
      <c r="U2382" s="1">
        <v>231</v>
      </c>
      <c r="V2382" s="5">
        <v>43635</v>
      </c>
      <c r="W2382" s="5">
        <v>42508</v>
      </c>
      <c r="X2382" s="1">
        <v>790000</v>
      </c>
      <c r="Y2382" s="1">
        <v>790000</v>
      </c>
      <c r="Z2382" s="5">
        <v>42739</v>
      </c>
      <c r="AA2382" s="1">
        <v>790000</v>
      </c>
      <c r="AB2382" s="1" t="s">
        <v>204</v>
      </c>
      <c r="AC2382" s="5">
        <v>42782</v>
      </c>
      <c r="AF2382" s="1">
        <v>10029</v>
      </c>
      <c r="AI2382" s="1" t="s">
        <v>154</v>
      </c>
      <c r="AJ2382" s="1">
        <v>2008</v>
      </c>
      <c r="AK2382" s="1" t="s">
        <v>87</v>
      </c>
      <c r="AL2382" s="1">
        <v>76</v>
      </c>
    </row>
    <row r="2383" spans="1:38" x14ac:dyDescent="0.2">
      <c r="A2383" s="2" t="str">
        <f>HYPERLINK("https://www.compass.com/listing/1810-3rd-avenue-unit-b8b-manhattan-ny-10029/4852270717237988177/","1810 3rd Ave, Unit B8B")</f>
        <v>1810 3rd Ave, Unit B8B</v>
      </c>
      <c r="B2383" s="2" t="str">
        <f t="shared" si="386"/>
        <v>The Art House Condominiums</v>
      </c>
      <c r="C2383" s="1" t="s">
        <v>82</v>
      </c>
      <c r="D2383" s="1" t="s">
        <v>41</v>
      </c>
      <c r="E2383" s="3">
        <v>800000</v>
      </c>
      <c r="F2383" s="1">
        <v>1008.82723833543</v>
      </c>
      <c r="G2383" s="1">
        <v>3</v>
      </c>
      <c r="H2383" s="1">
        <v>3</v>
      </c>
      <c r="I2383" s="1">
        <v>1</v>
      </c>
      <c r="J2383" s="1">
        <v>1</v>
      </c>
      <c r="K2383" s="1">
        <v>1</v>
      </c>
      <c r="M2383" s="1">
        <v>793</v>
      </c>
      <c r="N2383" s="1">
        <v>768</v>
      </c>
      <c r="O2383" s="1">
        <v>1139</v>
      </c>
      <c r="P2383" s="1">
        <v>371</v>
      </c>
      <c r="Q2383" s="1" t="s">
        <v>42</v>
      </c>
      <c r="S2383" s="1" t="s">
        <v>42</v>
      </c>
      <c r="T2383" s="1" t="s">
        <v>203</v>
      </c>
      <c r="U2383" s="1">
        <v>198</v>
      </c>
      <c r="V2383" s="5">
        <v>43631</v>
      </c>
      <c r="W2383" s="5">
        <v>42509</v>
      </c>
      <c r="X2383" s="1">
        <v>800000</v>
      </c>
      <c r="Y2383" s="1">
        <v>800000</v>
      </c>
      <c r="Z2383" s="5">
        <v>42707</v>
      </c>
      <c r="AA2383" s="1">
        <v>800000</v>
      </c>
      <c r="AB2383" s="1" t="s">
        <v>204</v>
      </c>
      <c r="AC2383" s="5">
        <v>42775</v>
      </c>
      <c r="AF2383" s="1">
        <v>10029</v>
      </c>
      <c r="AI2383" s="1" t="s">
        <v>154</v>
      </c>
      <c r="AJ2383" s="1">
        <v>2008</v>
      </c>
      <c r="AK2383" s="1" t="s">
        <v>87</v>
      </c>
      <c r="AL2383" s="1">
        <v>76</v>
      </c>
    </row>
    <row r="2384" spans="1:38" x14ac:dyDescent="0.2">
      <c r="A2384" s="2" t="str">
        <f>HYPERLINK("https://www.compass.com/listing/1810-3rd-avenue-unit-b7b-manhattan-ny-10029/4852272517852692897/","1810 3rd Ave, Unit B7B")</f>
        <v>1810 3rd Ave, Unit B7B</v>
      </c>
      <c r="B2384" s="2" t="str">
        <f t="shared" si="386"/>
        <v>The Art House Condominiums</v>
      </c>
      <c r="C2384" s="1" t="s">
        <v>82</v>
      </c>
      <c r="D2384" s="1" t="s">
        <v>41</v>
      </c>
      <c r="E2384" s="3">
        <v>790000</v>
      </c>
      <c r="F2384" s="1">
        <v>996.21689785624199</v>
      </c>
      <c r="G2384" s="1">
        <v>3</v>
      </c>
      <c r="H2384" s="1">
        <v>3</v>
      </c>
      <c r="I2384" s="1">
        <v>1</v>
      </c>
      <c r="J2384" s="1">
        <v>1</v>
      </c>
      <c r="K2384" s="1">
        <v>1</v>
      </c>
      <c r="M2384" s="1">
        <v>793</v>
      </c>
      <c r="N2384" s="1">
        <v>768</v>
      </c>
      <c r="O2384" s="1">
        <v>1139</v>
      </c>
      <c r="P2384" s="1">
        <v>371</v>
      </c>
      <c r="Q2384" s="1" t="s">
        <v>42</v>
      </c>
      <c r="S2384" s="1" t="s">
        <v>42</v>
      </c>
      <c r="T2384" s="1" t="s">
        <v>203</v>
      </c>
      <c r="U2384" s="1">
        <v>189</v>
      </c>
      <c r="V2384" s="5">
        <v>43689</v>
      </c>
      <c r="W2384" s="5">
        <v>42508</v>
      </c>
      <c r="X2384" s="1">
        <v>790000</v>
      </c>
      <c r="Y2384" s="1">
        <v>790000</v>
      </c>
      <c r="Z2384" s="5">
        <v>42697</v>
      </c>
      <c r="AA2384" s="1">
        <v>790000</v>
      </c>
      <c r="AB2384" s="1" t="s">
        <v>204</v>
      </c>
      <c r="AC2384" s="5">
        <v>42713</v>
      </c>
      <c r="AF2384" s="1">
        <v>10029</v>
      </c>
      <c r="AI2384" s="1" t="s">
        <v>154</v>
      </c>
      <c r="AJ2384" s="1">
        <v>2008</v>
      </c>
      <c r="AK2384" s="1" t="s">
        <v>87</v>
      </c>
      <c r="AL2384" s="1">
        <v>76</v>
      </c>
    </row>
    <row r="2385" spans="1:38" x14ac:dyDescent="0.2">
      <c r="A2385" s="2" t="str">
        <f>HYPERLINK("https://www.compass.com/listing/1810-3rd-avenue-unit-b9b-manhattan-ny-10029/4852272694952998017/","1810 3rd Ave, Unit B9B")</f>
        <v>1810 3rd Ave, Unit B9B</v>
      </c>
      <c r="B2385" s="2" t="str">
        <f t="shared" si="386"/>
        <v>The Art House Condominiums</v>
      </c>
      <c r="C2385" s="1" t="s">
        <v>82</v>
      </c>
      <c r="D2385" s="1" t="s">
        <v>41</v>
      </c>
      <c r="E2385" s="3">
        <v>810000</v>
      </c>
      <c r="F2385" s="1">
        <v>1021.43757881462</v>
      </c>
      <c r="G2385" s="1">
        <v>3</v>
      </c>
      <c r="H2385" s="1">
        <v>3</v>
      </c>
      <c r="I2385" s="1">
        <v>1</v>
      </c>
      <c r="J2385" s="1">
        <v>1</v>
      </c>
      <c r="K2385" s="1">
        <v>1</v>
      </c>
      <c r="M2385" s="1">
        <v>793</v>
      </c>
      <c r="N2385" s="1">
        <v>768</v>
      </c>
      <c r="O2385" s="1">
        <v>1139</v>
      </c>
      <c r="P2385" s="1">
        <v>371</v>
      </c>
      <c r="Q2385" s="1" t="s">
        <v>42</v>
      </c>
      <c r="S2385" s="1" t="s">
        <v>42</v>
      </c>
      <c r="T2385" s="1" t="s">
        <v>203</v>
      </c>
      <c r="U2385" s="1">
        <v>252</v>
      </c>
      <c r="V2385" s="5">
        <v>43631</v>
      </c>
      <c r="W2385" s="5">
        <v>42508</v>
      </c>
      <c r="X2385" s="1">
        <v>810000</v>
      </c>
      <c r="Y2385" s="1">
        <v>810000</v>
      </c>
      <c r="Z2385" s="5">
        <v>42760</v>
      </c>
      <c r="AA2385" s="1">
        <v>810000</v>
      </c>
      <c r="AB2385" s="1" t="s">
        <v>204</v>
      </c>
      <c r="AC2385" s="5">
        <v>42829</v>
      </c>
      <c r="AF2385" s="1">
        <v>10029</v>
      </c>
      <c r="AI2385" s="1" t="s">
        <v>154</v>
      </c>
      <c r="AJ2385" s="1">
        <v>2008</v>
      </c>
      <c r="AK2385" s="1" t="s">
        <v>87</v>
      </c>
      <c r="AL2385" s="1">
        <v>76</v>
      </c>
    </row>
    <row r="2386" spans="1:38" x14ac:dyDescent="0.2">
      <c r="A2386" s="2" t="str">
        <f>HYPERLINK("https://www.compass.com/listing/1810-3rd-avenue-unit-b4b-manhattan-ny-10029/4852321597517736641/","1810 3rd Ave, Unit B4B")</f>
        <v>1810 3rd Ave, Unit B4B</v>
      </c>
      <c r="B2386" s="2" t="str">
        <f t="shared" si="386"/>
        <v>The Art House Condominiums</v>
      </c>
      <c r="C2386" s="1" t="s">
        <v>82</v>
      </c>
      <c r="D2386" s="1" t="s">
        <v>41</v>
      </c>
      <c r="E2386" s="3">
        <v>765000</v>
      </c>
      <c r="F2386" s="1">
        <v>964.69104665825898</v>
      </c>
      <c r="G2386" s="1">
        <v>5</v>
      </c>
      <c r="H2386" s="1">
        <v>3</v>
      </c>
      <c r="I2386" s="1">
        <v>1</v>
      </c>
      <c r="J2386" s="1">
        <v>1</v>
      </c>
      <c r="K2386" s="1">
        <v>1</v>
      </c>
      <c r="M2386" s="1">
        <v>793</v>
      </c>
      <c r="N2386" s="1">
        <v>768</v>
      </c>
      <c r="O2386" s="1">
        <v>1139</v>
      </c>
      <c r="P2386" s="1">
        <v>371</v>
      </c>
      <c r="Q2386" s="1" t="s">
        <v>42</v>
      </c>
      <c r="S2386" s="1" t="s">
        <v>42</v>
      </c>
      <c r="T2386" s="1" t="s">
        <v>203</v>
      </c>
      <c r="U2386" s="1">
        <v>278</v>
      </c>
      <c r="V2386" s="5">
        <v>43631</v>
      </c>
      <c r="W2386" s="5">
        <v>42509</v>
      </c>
      <c r="X2386" s="1">
        <v>765000</v>
      </c>
      <c r="Y2386" s="1">
        <v>765000</v>
      </c>
      <c r="Z2386" s="5">
        <v>42787</v>
      </c>
      <c r="AA2386" s="1">
        <v>765000</v>
      </c>
      <c r="AB2386" s="1" t="s">
        <v>204</v>
      </c>
      <c r="AC2386" s="5">
        <v>42823</v>
      </c>
      <c r="AF2386" s="1">
        <v>10029</v>
      </c>
      <c r="AI2386" s="1" t="s">
        <v>154</v>
      </c>
      <c r="AJ2386" s="1">
        <v>2008</v>
      </c>
      <c r="AK2386" s="1" t="s">
        <v>87</v>
      </c>
      <c r="AL2386" s="1">
        <v>76</v>
      </c>
    </row>
    <row r="2387" spans="1:38" x14ac:dyDescent="0.2">
      <c r="A2387" s="2" t="str">
        <f>HYPERLINK("https://www.compass.com/listing/1399-park-avenue-unit-12f-manhattan-ny-10029/748975113298459745/","1399 Park Ave, Unit 12F")</f>
        <v>1399 Park Ave, Unit 12F</v>
      </c>
      <c r="B2387" s="2" t="str">
        <f t="shared" ref="B2387:B2388" si="387">HYPERLINK("https://www.compass.com/building/1399-park-manhattan-ny/281988559521557189/","1399 Park")</f>
        <v>1399 Park</v>
      </c>
      <c r="C2387" s="1" t="s">
        <v>82</v>
      </c>
      <c r="D2387" s="1" t="s">
        <v>41</v>
      </c>
      <c r="E2387" s="3">
        <v>650000</v>
      </c>
      <c r="F2387" s="1">
        <v>1279.52755905511</v>
      </c>
      <c r="H2387" s="1" t="s">
        <v>77</v>
      </c>
      <c r="J2387" s="1">
        <v>1</v>
      </c>
      <c r="M2387" s="1">
        <v>508</v>
      </c>
      <c r="N2387" s="1">
        <v>590</v>
      </c>
      <c r="O2387" s="1">
        <v>920</v>
      </c>
      <c r="P2387" s="1">
        <v>330</v>
      </c>
      <c r="Q2387" s="1" t="s">
        <v>42</v>
      </c>
      <c r="S2387" s="1" t="s">
        <v>42</v>
      </c>
      <c r="T2387" s="1" t="s">
        <v>203</v>
      </c>
      <c r="AA2387" s="1">
        <v>650000</v>
      </c>
      <c r="AB2387" s="1" t="s">
        <v>1818</v>
      </c>
      <c r="AC2387" s="5">
        <v>44266</v>
      </c>
      <c r="AF2387" s="1">
        <v>10029</v>
      </c>
      <c r="AI2387" s="1" t="s">
        <v>52</v>
      </c>
      <c r="AJ2387" s="1">
        <v>2019</v>
      </c>
      <c r="AK2387" s="1" t="s">
        <v>55</v>
      </c>
      <c r="AL2387" s="1">
        <v>72</v>
      </c>
    </row>
    <row r="2388" spans="1:38" x14ac:dyDescent="0.2">
      <c r="A2388" s="2" t="str">
        <f>HYPERLINK("https://www.compass.com/listing/1399-park-avenue-unit-15c-manhattan-ny-10029/29515040826685313/","1399 Park Ave, Unit 15C")</f>
        <v>1399 Park Ave, Unit 15C</v>
      </c>
      <c r="B2388" s="2" t="str">
        <f t="shared" si="387"/>
        <v>1399 Park</v>
      </c>
      <c r="C2388" s="1" t="s">
        <v>82</v>
      </c>
      <c r="D2388" s="1" t="s">
        <v>41</v>
      </c>
      <c r="E2388" s="3">
        <v>722957</v>
      </c>
      <c r="F2388" s="1">
        <v>1428.76877470355</v>
      </c>
      <c r="G2388" s="1">
        <v>2</v>
      </c>
      <c r="H2388" s="1" t="s">
        <v>77</v>
      </c>
      <c r="I2388" s="1">
        <v>1</v>
      </c>
      <c r="J2388" s="1">
        <v>1</v>
      </c>
      <c r="K2388" s="1">
        <v>1</v>
      </c>
      <c r="M2388" s="1">
        <v>506</v>
      </c>
      <c r="N2388" s="1">
        <v>567</v>
      </c>
      <c r="O2388" s="1">
        <v>1463</v>
      </c>
      <c r="P2388" s="1">
        <v>896</v>
      </c>
      <c r="Q2388" s="1" t="s">
        <v>42</v>
      </c>
      <c r="S2388" s="1" t="s">
        <v>42</v>
      </c>
      <c r="T2388" s="1" t="s">
        <v>203</v>
      </c>
      <c r="V2388" s="5">
        <v>43697</v>
      </c>
      <c r="W2388" s="5">
        <v>42713</v>
      </c>
      <c r="X2388" s="1">
        <v>710000</v>
      </c>
      <c r="Y2388" s="1">
        <v>710000</v>
      </c>
      <c r="Z2388" s="5">
        <v>42713</v>
      </c>
      <c r="AA2388" s="1">
        <v>722957</v>
      </c>
      <c r="AB2388" s="1" t="s">
        <v>1819</v>
      </c>
      <c r="AC2388" s="5">
        <v>43630</v>
      </c>
      <c r="AF2388" s="1">
        <v>10029</v>
      </c>
      <c r="AI2388" s="1" t="s">
        <v>52</v>
      </c>
      <c r="AJ2388" s="1">
        <v>2019</v>
      </c>
      <c r="AK2388" s="1" t="s">
        <v>87</v>
      </c>
      <c r="AL2388" s="1">
        <v>72</v>
      </c>
    </row>
    <row r="2389" spans="1:38" x14ac:dyDescent="0.2">
      <c r="A2389" s="2" t="str">
        <f>HYPERLINK("https://www.compass.com/listing/1810-3rd-avenue-unit-b6a-manhattan-ny-10029/4852306492436520001/","1810 3rd Ave, Unit B6A")</f>
        <v>1810 3rd Ave, Unit B6A</v>
      </c>
      <c r="B2389" s="2" t="str">
        <f>HYPERLINK("https://www.compass.com/building/the-art-house-condominiums-manhattan-ny/281989881993998229/","The Art House Condominiums")</f>
        <v>The Art House Condominiums</v>
      </c>
      <c r="C2389" s="1" t="s">
        <v>82</v>
      </c>
      <c r="D2389" s="1" t="s">
        <v>41</v>
      </c>
      <c r="E2389" s="3">
        <v>804650</v>
      </c>
      <c r="F2389" s="1">
        <v>1036.92010309278</v>
      </c>
      <c r="G2389" s="1">
        <v>4</v>
      </c>
      <c r="H2389" s="1">
        <v>2</v>
      </c>
      <c r="I2389" s="1">
        <v>1</v>
      </c>
      <c r="J2389" s="1">
        <v>1</v>
      </c>
      <c r="K2389" s="1">
        <v>1</v>
      </c>
      <c r="M2389" s="1">
        <v>776</v>
      </c>
      <c r="N2389" s="1">
        <v>776.84</v>
      </c>
      <c r="O2389" s="1">
        <v>1152.1500000000001</v>
      </c>
      <c r="P2389" s="1">
        <v>375.33333333333297</v>
      </c>
      <c r="Q2389" s="1" t="s">
        <v>42</v>
      </c>
      <c r="S2389" s="1" t="s">
        <v>42</v>
      </c>
      <c r="T2389" s="1" t="s">
        <v>203</v>
      </c>
      <c r="U2389" s="1">
        <v>36</v>
      </c>
      <c r="V2389" s="5">
        <v>43631</v>
      </c>
      <c r="W2389" s="5">
        <v>42258</v>
      </c>
      <c r="X2389" s="1">
        <v>804650</v>
      </c>
      <c r="Y2389" s="1">
        <v>804650</v>
      </c>
      <c r="Z2389" s="5">
        <v>42294</v>
      </c>
      <c r="AA2389" s="1">
        <v>804650</v>
      </c>
      <c r="AB2389" s="1" t="s">
        <v>204</v>
      </c>
      <c r="AC2389" s="5">
        <v>42543</v>
      </c>
      <c r="AF2389" s="1">
        <v>10029</v>
      </c>
      <c r="AI2389" s="1" t="s">
        <v>1800</v>
      </c>
      <c r="AJ2389" s="1">
        <v>2008</v>
      </c>
      <c r="AK2389" s="1" t="s">
        <v>87</v>
      </c>
      <c r="AL2389" s="1">
        <v>76</v>
      </c>
    </row>
    <row r="2390" spans="1:38" x14ac:dyDescent="0.2">
      <c r="A2390" s="2" t="str">
        <f>HYPERLINK("https://www.compass.com/listing/1399-park-avenue-unit-8a-manhattan-ny-10029/29515027757165393/","1399 Park Ave, Unit 8A")</f>
        <v>1399 Park Ave, Unit 8A</v>
      </c>
      <c r="B2390" s="2" t="str">
        <f t="shared" ref="B2390:B2399" si="388">HYPERLINK("https://www.compass.com/building/1399-park-manhattan-ny/281988559521557189/","1399 Park")</f>
        <v>1399 Park</v>
      </c>
      <c r="C2390" s="1" t="s">
        <v>82</v>
      </c>
      <c r="D2390" s="1" t="s">
        <v>41</v>
      </c>
      <c r="E2390" s="3">
        <v>1055000</v>
      </c>
      <c r="F2390" s="1">
        <v>1193.4389140271401</v>
      </c>
      <c r="G2390" s="1">
        <v>4</v>
      </c>
      <c r="H2390" s="1">
        <v>2</v>
      </c>
      <c r="I2390" s="1">
        <v>2</v>
      </c>
      <c r="J2390" s="1">
        <v>2</v>
      </c>
      <c r="K2390" s="1">
        <v>2</v>
      </c>
      <c r="M2390" s="1">
        <v>884</v>
      </c>
      <c r="N2390" s="1">
        <v>990</v>
      </c>
      <c r="O2390" s="1">
        <v>1566</v>
      </c>
      <c r="P2390" s="1">
        <v>576</v>
      </c>
      <c r="Q2390" s="1" t="s">
        <v>42</v>
      </c>
      <c r="S2390" s="1" t="s">
        <v>42</v>
      </c>
      <c r="T2390" s="1" t="s">
        <v>203</v>
      </c>
      <c r="U2390" s="1">
        <v>72</v>
      </c>
      <c r="V2390" s="5">
        <v>43694</v>
      </c>
      <c r="W2390" s="5">
        <v>42631</v>
      </c>
      <c r="X2390" s="1">
        <v>1080000</v>
      </c>
      <c r="Y2390" s="1">
        <v>1080000</v>
      </c>
      <c r="Z2390" s="5">
        <v>42717</v>
      </c>
      <c r="AA2390" s="1">
        <v>1055000</v>
      </c>
      <c r="AB2390" s="1" t="s">
        <v>1820</v>
      </c>
      <c r="AC2390" s="5">
        <v>43623</v>
      </c>
      <c r="AF2390" s="1">
        <v>10029</v>
      </c>
      <c r="AI2390" s="1" t="s">
        <v>52</v>
      </c>
      <c r="AJ2390" s="1">
        <v>2019</v>
      </c>
      <c r="AK2390" s="1" t="s">
        <v>87</v>
      </c>
      <c r="AL2390" s="1">
        <v>72</v>
      </c>
    </row>
    <row r="2391" spans="1:38" x14ac:dyDescent="0.2">
      <c r="A2391" s="2" t="str">
        <f>HYPERLINK("https://www.compass.com/listing/1399-park-avenue-unit-6c-manhattan-ny-10029/29515029325903217/","1399 Park Ave, Unit 6C")</f>
        <v>1399 Park Ave, Unit 6C</v>
      </c>
      <c r="B2391" s="2" t="str">
        <f t="shared" si="388"/>
        <v>1399 Park</v>
      </c>
      <c r="C2391" s="1" t="s">
        <v>82</v>
      </c>
      <c r="D2391" s="1" t="s">
        <v>41</v>
      </c>
      <c r="E2391" s="3">
        <v>1196444</v>
      </c>
      <c r="F2391" s="1">
        <v>1243.70452182952</v>
      </c>
      <c r="G2391" s="1">
        <v>4</v>
      </c>
      <c r="H2391" s="1">
        <v>2</v>
      </c>
      <c r="I2391" s="1">
        <v>2</v>
      </c>
      <c r="J2391" s="1">
        <v>2</v>
      </c>
      <c r="K2391" s="1">
        <v>2</v>
      </c>
      <c r="M2391" s="1">
        <v>962</v>
      </c>
      <c r="N2391" s="1">
        <v>1118</v>
      </c>
      <c r="O2391" s="1">
        <v>1745</v>
      </c>
      <c r="P2391" s="1">
        <v>627</v>
      </c>
      <c r="Q2391" s="1" t="s">
        <v>42</v>
      </c>
      <c r="S2391" s="1" t="s">
        <v>42</v>
      </c>
      <c r="T2391" s="1" t="s">
        <v>203</v>
      </c>
      <c r="U2391" s="1">
        <v>36</v>
      </c>
      <c r="V2391" s="5">
        <v>43691</v>
      </c>
      <c r="W2391" s="5">
        <v>42901</v>
      </c>
      <c r="X2391" s="1">
        <v>1175000</v>
      </c>
      <c r="Y2391" s="1">
        <v>1175000</v>
      </c>
      <c r="Z2391" s="5">
        <v>42938</v>
      </c>
      <c r="AA2391" s="1">
        <v>1196443.75</v>
      </c>
      <c r="AB2391" s="1" t="s">
        <v>1821</v>
      </c>
      <c r="AC2391" s="5">
        <v>43644</v>
      </c>
      <c r="AF2391" s="1">
        <v>10029</v>
      </c>
      <c r="AI2391" s="1" t="s">
        <v>52</v>
      </c>
      <c r="AJ2391" s="1">
        <v>2019</v>
      </c>
      <c r="AK2391" s="1" t="s">
        <v>87</v>
      </c>
      <c r="AL2391" s="1">
        <v>72</v>
      </c>
    </row>
    <row r="2392" spans="1:38" x14ac:dyDescent="0.2">
      <c r="A2392" s="2" t="str">
        <f>HYPERLINK("https://www.compass.com/listing/1399-park-avenue-unit-11b-manhattan-ny-10029/29515033025238593/","1399 Park Ave, Unit 11B")</f>
        <v>1399 Park Ave, Unit 11B</v>
      </c>
      <c r="B2392" s="2" t="str">
        <f t="shared" si="388"/>
        <v>1399 Park</v>
      </c>
      <c r="C2392" s="1" t="s">
        <v>82</v>
      </c>
      <c r="D2392" s="1" t="s">
        <v>41</v>
      </c>
      <c r="E2392" s="3">
        <v>1155000</v>
      </c>
      <c r="F2392" s="1">
        <v>1120.27158098933</v>
      </c>
      <c r="G2392" s="1">
        <v>4</v>
      </c>
      <c r="H2392" s="1">
        <v>2</v>
      </c>
      <c r="I2392" s="1">
        <v>2</v>
      </c>
      <c r="J2392" s="1">
        <v>2</v>
      </c>
      <c r="K2392" s="1">
        <v>2</v>
      </c>
      <c r="M2392" s="4">
        <v>1031</v>
      </c>
      <c r="N2392" s="1">
        <v>1197</v>
      </c>
      <c r="O2392" s="1">
        <v>1868</v>
      </c>
      <c r="P2392" s="1">
        <v>671</v>
      </c>
      <c r="Q2392" s="1" t="s">
        <v>42</v>
      </c>
      <c r="S2392" s="1" t="s">
        <v>42</v>
      </c>
      <c r="T2392" s="1" t="s">
        <v>203</v>
      </c>
      <c r="V2392" s="5">
        <v>43697</v>
      </c>
      <c r="W2392" s="5">
        <v>42824</v>
      </c>
      <c r="X2392" s="1">
        <v>1155000</v>
      </c>
      <c r="Y2392" s="1">
        <v>1155000</v>
      </c>
      <c r="Z2392" s="5">
        <v>42824</v>
      </c>
      <c r="AA2392" s="1">
        <v>1155000</v>
      </c>
      <c r="AB2392" s="1" t="s">
        <v>1822</v>
      </c>
      <c r="AC2392" s="5">
        <v>43644</v>
      </c>
      <c r="AF2392" s="1">
        <v>10029</v>
      </c>
      <c r="AI2392" s="1" t="s">
        <v>52</v>
      </c>
      <c r="AJ2392" s="1">
        <v>2019</v>
      </c>
      <c r="AK2392" s="1" t="s">
        <v>87</v>
      </c>
      <c r="AL2392" s="1">
        <v>72</v>
      </c>
    </row>
    <row r="2393" spans="1:38" x14ac:dyDescent="0.2">
      <c r="A2393" s="2" t="str">
        <f>HYPERLINK("https://www.compass.com/listing/1399-park-avenue-unit-14a-manhattan-ny-10029/29515033302103633/","1399 Park Ave, Unit 14A")</f>
        <v>1399 Park Ave, Unit 14A</v>
      </c>
      <c r="B2393" s="2" t="str">
        <f t="shared" si="388"/>
        <v>1399 Park</v>
      </c>
      <c r="C2393" s="1" t="s">
        <v>82</v>
      </c>
      <c r="D2393" s="1" t="s">
        <v>41</v>
      </c>
      <c r="E2393" s="3">
        <v>1098923</v>
      </c>
      <c r="F2393" s="1">
        <v>1243.1251018099499</v>
      </c>
      <c r="G2393" s="1">
        <v>4</v>
      </c>
      <c r="H2393" s="1">
        <v>2</v>
      </c>
      <c r="I2393" s="1">
        <v>2</v>
      </c>
      <c r="J2393" s="1">
        <v>2</v>
      </c>
      <c r="K2393" s="1">
        <v>2</v>
      </c>
      <c r="M2393" s="1">
        <v>884</v>
      </c>
      <c r="N2393" s="1">
        <v>1026</v>
      </c>
      <c r="O2393" s="1">
        <v>1601</v>
      </c>
      <c r="P2393" s="1">
        <v>575</v>
      </c>
      <c r="Q2393" s="1" t="s">
        <v>42</v>
      </c>
      <c r="S2393" s="1" t="s">
        <v>42</v>
      </c>
      <c r="T2393" s="1" t="s">
        <v>203</v>
      </c>
      <c r="V2393" s="5">
        <v>44288</v>
      </c>
      <c r="W2393" s="5">
        <v>42823</v>
      </c>
      <c r="X2393" s="1">
        <v>1235000</v>
      </c>
      <c r="Y2393" s="1">
        <v>1235000</v>
      </c>
      <c r="Z2393" s="5">
        <v>42824</v>
      </c>
      <c r="AA2393" s="1">
        <v>1098922.5900000001</v>
      </c>
      <c r="AB2393" s="1" t="s">
        <v>1823</v>
      </c>
      <c r="AC2393" s="5">
        <v>43824</v>
      </c>
      <c r="AF2393" s="1">
        <v>10029</v>
      </c>
      <c r="AI2393" s="1" t="s">
        <v>52</v>
      </c>
      <c r="AJ2393" s="1">
        <v>2019</v>
      </c>
      <c r="AK2393" s="1" t="s">
        <v>87</v>
      </c>
      <c r="AL2393" s="1">
        <v>72</v>
      </c>
    </row>
    <row r="2394" spans="1:38" x14ac:dyDescent="0.2">
      <c r="A2394" s="2" t="str">
        <f>HYPERLINK("https://www.compass.com/listing/1399-park-avenue-unit-9a-manhattan-ny-10029/29515036389043393/","1399 Park Ave, Unit 9A")</f>
        <v>1399 Park Ave, Unit 9A</v>
      </c>
      <c r="B2394" s="2" t="str">
        <f t="shared" si="388"/>
        <v>1399 Park</v>
      </c>
      <c r="C2394" s="1" t="s">
        <v>82</v>
      </c>
      <c r="D2394" s="1" t="s">
        <v>41</v>
      </c>
      <c r="E2394" s="3">
        <v>1125000</v>
      </c>
      <c r="F2394" s="1">
        <v>1272.6244343891401</v>
      </c>
      <c r="G2394" s="1">
        <v>4</v>
      </c>
      <c r="H2394" s="1">
        <v>2</v>
      </c>
      <c r="I2394" s="1">
        <v>2</v>
      </c>
      <c r="J2394" s="1">
        <v>2</v>
      </c>
      <c r="K2394" s="1">
        <v>2</v>
      </c>
      <c r="M2394" s="1">
        <v>884</v>
      </c>
      <c r="N2394" s="1">
        <v>991</v>
      </c>
      <c r="O2394" s="1">
        <v>1567</v>
      </c>
      <c r="P2394" s="1">
        <v>576</v>
      </c>
      <c r="Q2394" s="1" t="s">
        <v>42</v>
      </c>
      <c r="S2394" s="1" t="s">
        <v>42</v>
      </c>
      <c r="T2394" s="1" t="s">
        <v>203</v>
      </c>
      <c r="V2394" s="5">
        <v>43694</v>
      </c>
      <c r="W2394" s="5">
        <v>42789</v>
      </c>
      <c r="X2394" s="1">
        <v>1125000</v>
      </c>
      <c r="Y2394" s="1">
        <v>1125000</v>
      </c>
      <c r="Z2394" s="5">
        <v>42789</v>
      </c>
      <c r="AA2394" s="1">
        <v>1125000</v>
      </c>
      <c r="AB2394" s="1" t="s">
        <v>1824</v>
      </c>
      <c r="AC2394" s="5">
        <v>43615</v>
      </c>
      <c r="AF2394" s="1">
        <v>10029</v>
      </c>
      <c r="AI2394" s="1" t="s">
        <v>52</v>
      </c>
      <c r="AJ2394" s="1">
        <v>2019</v>
      </c>
      <c r="AK2394" s="1" t="s">
        <v>87</v>
      </c>
      <c r="AL2394" s="1">
        <v>72</v>
      </c>
    </row>
    <row r="2395" spans="1:38" x14ac:dyDescent="0.2">
      <c r="A2395" s="2" t="str">
        <f>HYPERLINK("https://www.compass.com/listing/1399-park-avenue-unit-10c-manhattan-ny-10029/29515036984702673/","1399 Park Ave, Unit 10C")</f>
        <v>1399 Park Ave, Unit 10C</v>
      </c>
      <c r="B2395" s="2" t="str">
        <f t="shared" si="388"/>
        <v>1399 Park</v>
      </c>
      <c r="C2395" s="1" t="s">
        <v>82</v>
      </c>
      <c r="D2395" s="1" t="s">
        <v>41</v>
      </c>
      <c r="E2395" s="3">
        <v>1181170</v>
      </c>
      <c r="F2395" s="1">
        <v>1227.8274428274401</v>
      </c>
      <c r="G2395" s="1">
        <v>4</v>
      </c>
      <c r="H2395" s="1">
        <v>2</v>
      </c>
      <c r="I2395" s="1">
        <v>2</v>
      </c>
      <c r="J2395" s="1">
        <v>2</v>
      </c>
      <c r="K2395" s="1">
        <v>2</v>
      </c>
      <c r="M2395" s="1">
        <v>962</v>
      </c>
      <c r="N2395" s="1">
        <v>1078</v>
      </c>
      <c r="O2395" s="1">
        <v>1705</v>
      </c>
      <c r="P2395" s="1">
        <v>627</v>
      </c>
      <c r="Q2395" s="1" t="s">
        <v>42</v>
      </c>
      <c r="S2395" s="1" t="s">
        <v>42</v>
      </c>
      <c r="T2395" s="1" t="s">
        <v>203</v>
      </c>
      <c r="V2395" s="5">
        <v>43629</v>
      </c>
      <c r="W2395" s="5">
        <v>42733</v>
      </c>
      <c r="X2395" s="1">
        <v>1160000</v>
      </c>
      <c r="Y2395" s="1">
        <v>1160000</v>
      </c>
      <c r="Z2395" s="5">
        <v>42734</v>
      </c>
      <c r="AA2395" s="1">
        <v>1181170</v>
      </c>
      <c r="AB2395" s="1" t="s">
        <v>1825</v>
      </c>
      <c r="AC2395" s="5">
        <v>43614</v>
      </c>
      <c r="AF2395" s="1">
        <v>10029</v>
      </c>
      <c r="AI2395" s="1" t="s">
        <v>52</v>
      </c>
      <c r="AJ2395" s="1">
        <v>2019</v>
      </c>
      <c r="AK2395" s="1" t="s">
        <v>87</v>
      </c>
      <c r="AL2395" s="1">
        <v>72</v>
      </c>
    </row>
    <row r="2396" spans="1:38" x14ac:dyDescent="0.2">
      <c r="A2396" s="2" t="str">
        <f>HYPERLINK("https://www.compass.com/listing/1399-park-avenue-unit-10b-manhattan-ny-10029/29515044618336289/","1399 Park Ave, Unit 10B")</f>
        <v>1399 Park Ave, Unit 10B</v>
      </c>
      <c r="B2396" s="2" t="str">
        <f t="shared" si="388"/>
        <v>1399 Park</v>
      </c>
      <c r="C2396" s="1" t="s">
        <v>82</v>
      </c>
      <c r="D2396" s="1" t="s">
        <v>41</v>
      </c>
      <c r="E2396" s="3">
        <v>1104801</v>
      </c>
      <c r="F2396" s="1">
        <v>1071.58220174587</v>
      </c>
      <c r="G2396" s="1">
        <v>4</v>
      </c>
      <c r="H2396" s="1">
        <v>2</v>
      </c>
      <c r="I2396" s="1">
        <v>2</v>
      </c>
      <c r="J2396" s="1">
        <v>2</v>
      </c>
      <c r="K2396" s="1">
        <v>2</v>
      </c>
      <c r="M2396" s="4">
        <v>1031</v>
      </c>
      <c r="N2396" s="1">
        <v>1154</v>
      </c>
      <c r="O2396" s="1">
        <v>1825</v>
      </c>
      <c r="P2396" s="1">
        <v>671</v>
      </c>
      <c r="Q2396" s="1" t="s">
        <v>42</v>
      </c>
      <c r="S2396" s="1" t="s">
        <v>42</v>
      </c>
      <c r="T2396" s="1" t="s">
        <v>203</v>
      </c>
      <c r="V2396" s="5">
        <v>43654</v>
      </c>
      <c r="W2396" s="5">
        <v>42681</v>
      </c>
      <c r="X2396" s="1">
        <v>1085000</v>
      </c>
      <c r="Y2396" s="1">
        <v>1085000</v>
      </c>
      <c r="Z2396" s="5">
        <v>42682</v>
      </c>
      <c r="AA2396" s="1">
        <v>1104801.25</v>
      </c>
      <c r="AB2396" s="1" t="s">
        <v>1826</v>
      </c>
      <c r="AC2396" s="5">
        <v>43649</v>
      </c>
      <c r="AF2396" s="1">
        <v>10029</v>
      </c>
      <c r="AI2396" s="1" t="s">
        <v>52</v>
      </c>
      <c r="AJ2396" s="1">
        <v>2019</v>
      </c>
      <c r="AK2396" s="1" t="s">
        <v>87</v>
      </c>
      <c r="AL2396" s="1">
        <v>72</v>
      </c>
    </row>
    <row r="2397" spans="1:38" x14ac:dyDescent="0.2">
      <c r="A2397" s="2" t="str">
        <f>HYPERLINK("https://www.compass.com/listing/1399-park-avenue-unit-9b-manhattan-ny-10029/29515044928646737/","1399 Park Ave, Unit 9B")</f>
        <v>1399 Park Ave, Unit 9B</v>
      </c>
      <c r="B2397" s="2" t="str">
        <f t="shared" si="388"/>
        <v>1399 Park</v>
      </c>
      <c r="C2397" s="1" t="s">
        <v>82</v>
      </c>
      <c r="D2397" s="1" t="s">
        <v>41</v>
      </c>
      <c r="E2397" s="3">
        <v>1089527</v>
      </c>
      <c r="F2397" s="1">
        <v>1056.76721629485</v>
      </c>
      <c r="G2397" s="1">
        <v>4</v>
      </c>
      <c r="H2397" s="1">
        <v>2</v>
      </c>
      <c r="I2397" s="1">
        <v>2</v>
      </c>
      <c r="J2397" s="1">
        <v>2</v>
      </c>
      <c r="K2397" s="1">
        <v>2</v>
      </c>
      <c r="M2397" s="4">
        <v>1031</v>
      </c>
      <c r="N2397" s="1">
        <v>1154</v>
      </c>
      <c r="O2397" s="1">
        <v>1825</v>
      </c>
      <c r="P2397" s="1">
        <v>671</v>
      </c>
      <c r="Q2397" s="1" t="s">
        <v>42</v>
      </c>
      <c r="S2397" s="1" t="s">
        <v>42</v>
      </c>
      <c r="T2397" s="1" t="s">
        <v>203</v>
      </c>
      <c r="V2397" s="5">
        <v>43669</v>
      </c>
      <c r="W2397" s="5">
        <v>42682</v>
      </c>
      <c r="X2397" s="1">
        <v>1070000</v>
      </c>
      <c r="Y2397" s="1">
        <v>1070000</v>
      </c>
      <c r="Z2397" s="5">
        <v>42682</v>
      </c>
      <c r="AA2397" s="1">
        <v>1089527</v>
      </c>
      <c r="AB2397" s="1" t="s">
        <v>1827</v>
      </c>
      <c r="AC2397" s="5">
        <v>43650</v>
      </c>
      <c r="AF2397" s="1">
        <v>10029</v>
      </c>
      <c r="AI2397" s="1" t="s">
        <v>103</v>
      </c>
      <c r="AJ2397" s="1">
        <v>2019</v>
      </c>
      <c r="AK2397" s="1" t="s">
        <v>87</v>
      </c>
      <c r="AL2397" s="1">
        <v>72</v>
      </c>
    </row>
    <row r="2398" spans="1:38" x14ac:dyDescent="0.2">
      <c r="A2398" s="2" t="str">
        <f>HYPERLINK("https://www.compass.com/listing/1399-park-avenue-unit-7b-manhattan-ny-10029/4852282724934760497/","1399 Park Ave, Unit 7B")</f>
        <v>1399 Park Ave, Unit 7B</v>
      </c>
      <c r="B2398" s="2" t="str">
        <f t="shared" si="388"/>
        <v>1399 Park</v>
      </c>
      <c r="C2398" s="1" t="s">
        <v>82</v>
      </c>
      <c r="D2398" s="1" t="s">
        <v>41</v>
      </c>
      <c r="E2398" s="3">
        <v>1160494</v>
      </c>
      <c r="F2398" s="1">
        <v>1125.6001454898101</v>
      </c>
      <c r="G2398" s="1">
        <v>4</v>
      </c>
      <c r="H2398" s="1">
        <v>2</v>
      </c>
      <c r="I2398" s="1">
        <v>2</v>
      </c>
      <c r="J2398" s="1">
        <v>2</v>
      </c>
      <c r="K2398" s="1">
        <v>2</v>
      </c>
      <c r="M2398" s="4">
        <v>1031</v>
      </c>
      <c r="N2398" s="1">
        <v>1197</v>
      </c>
      <c r="O2398" s="1">
        <v>1868</v>
      </c>
      <c r="P2398" s="1">
        <v>671</v>
      </c>
      <c r="Q2398" s="1" t="s">
        <v>42</v>
      </c>
      <c r="S2398" s="1" t="s">
        <v>42</v>
      </c>
      <c r="T2398" s="1" t="s">
        <v>203</v>
      </c>
      <c r="U2398" s="1">
        <v>218</v>
      </c>
      <c r="V2398" s="5">
        <v>43803</v>
      </c>
      <c r="W2398" s="5">
        <v>42692</v>
      </c>
      <c r="X2398" s="1">
        <v>1065000</v>
      </c>
      <c r="Y2398" s="1">
        <v>1150000</v>
      </c>
      <c r="Z2398" s="5">
        <v>42913</v>
      </c>
      <c r="AA2398" s="1">
        <v>1160493.75</v>
      </c>
      <c r="AB2398" s="1" t="s">
        <v>1828</v>
      </c>
      <c r="AC2398" s="5">
        <v>43661</v>
      </c>
      <c r="AF2398" s="1">
        <v>10029</v>
      </c>
      <c r="AI2398" s="1" t="s">
        <v>52</v>
      </c>
      <c r="AJ2398" s="1">
        <v>2019</v>
      </c>
      <c r="AK2398" s="1" t="s">
        <v>87</v>
      </c>
      <c r="AL2398" s="1">
        <v>72</v>
      </c>
    </row>
    <row r="2399" spans="1:38" x14ac:dyDescent="0.2">
      <c r="A2399" s="2" t="str">
        <f>HYPERLINK("https://www.compass.com/listing/1399-park-avenue-unit-7c-manhattan-ny-10029/803349585585587713/","1399 Park Ave, Unit 7C")</f>
        <v>1399 Park Ave, Unit 7C</v>
      </c>
      <c r="B2399" s="2" t="str">
        <f t="shared" si="388"/>
        <v>1399 Park</v>
      </c>
      <c r="C2399" s="1" t="s">
        <v>82</v>
      </c>
      <c r="D2399" s="1" t="s">
        <v>41</v>
      </c>
      <c r="E2399" s="3">
        <v>984234</v>
      </c>
      <c r="F2399" s="1">
        <v>1023.11259875259</v>
      </c>
      <c r="G2399" s="1">
        <v>4</v>
      </c>
      <c r="H2399" s="1">
        <v>2</v>
      </c>
      <c r="I2399" s="1">
        <v>2</v>
      </c>
      <c r="J2399" s="1">
        <v>2</v>
      </c>
      <c r="K2399" s="1">
        <v>2</v>
      </c>
      <c r="M2399" s="1">
        <v>962</v>
      </c>
      <c r="N2399" s="1">
        <v>1118</v>
      </c>
      <c r="O2399" s="1">
        <v>1745</v>
      </c>
      <c r="P2399" s="1">
        <v>627</v>
      </c>
      <c r="Q2399" s="1" t="s">
        <v>42</v>
      </c>
      <c r="S2399" s="1" t="s">
        <v>42</v>
      </c>
      <c r="T2399" s="1" t="s">
        <v>203</v>
      </c>
      <c r="U2399" s="1">
        <v>218</v>
      </c>
      <c r="V2399" s="5">
        <v>44287</v>
      </c>
      <c r="W2399" s="5">
        <v>42752</v>
      </c>
      <c r="X2399" s="1">
        <v>1115000</v>
      </c>
      <c r="Y2399" s="1">
        <v>1195000</v>
      </c>
      <c r="Z2399" s="5">
        <v>43012</v>
      </c>
      <c r="AA2399" s="1">
        <v>984234.32</v>
      </c>
      <c r="AB2399" s="1" t="s">
        <v>1829</v>
      </c>
      <c r="AC2399" s="5">
        <v>43819</v>
      </c>
      <c r="AF2399" s="1">
        <v>10029</v>
      </c>
      <c r="AI2399" s="1" t="s">
        <v>52</v>
      </c>
      <c r="AJ2399" s="1">
        <v>2019</v>
      </c>
      <c r="AK2399" s="1" t="s">
        <v>87</v>
      </c>
      <c r="AL2399" s="1">
        <v>72</v>
      </c>
    </row>
    <row r="2400" spans="1:38" x14ac:dyDescent="0.2">
      <c r="A2400" s="2" t="str">
        <f>HYPERLINK("https://www.compass.com/listing/1810-3rd-avenue-unit-b3b-manhattan-ny-10029/4852262276226351505/","1810 3rd Ave, Unit B3B")</f>
        <v>1810 3rd Ave, Unit B3B</v>
      </c>
      <c r="B2400" s="2" t="str">
        <f t="shared" ref="B2400:B2403" si="389">HYPERLINK("https://www.compass.com/building/the-art-house-condominiums-manhattan-ny/281989881993998229/","The Art House Condominiums")</f>
        <v>The Art House Condominiums</v>
      </c>
      <c r="C2400" s="1" t="s">
        <v>82</v>
      </c>
      <c r="D2400" s="1" t="s">
        <v>41</v>
      </c>
      <c r="E2400" s="3">
        <v>755000</v>
      </c>
      <c r="F2400" s="1">
        <v>952.08070617906606</v>
      </c>
      <c r="G2400" s="1">
        <v>3</v>
      </c>
      <c r="H2400" s="1">
        <v>1</v>
      </c>
      <c r="I2400" s="1">
        <v>1</v>
      </c>
      <c r="J2400" s="1">
        <v>1</v>
      </c>
      <c r="K2400" s="1">
        <v>1</v>
      </c>
      <c r="M2400" s="1">
        <v>793</v>
      </c>
      <c r="N2400" s="1">
        <v>768</v>
      </c>
      <c r="O2400" s="1">
        <v>1139</v>
      </c>
      <c r="P2400" s="1">
        <v>371</v>
      </c>
      <c r="Q2400" s="1" t="s">
        <v>42</v>
      </c>
      <c r="S2400" s="1" t="s">
        <v>42</v>
      </c>
      <c r="T2400" s="1" t="s">
        <v>203</v>
      </c>
      <c r="U2400" s="1">
        <v>72</v>
      </c>
      <c r="V2400" s="5">
        <v>43631</v>
      </c>
      <c r="W2400" s="5">
        <v>42509</v>
      </c>
      <c r="X2400" s="1">
        <v>755000</v>
      </c>
      <c r="Y2400" s="1">
        <v>755000</v>
      </c>
      <c r="Z2400" s="5">
        <v>42581</v>
      </c>
      <c r="AA2400" s="1">
        <v>755000</v>
      </c>
      <c r="AB2400" s="1" t="s">
        <v>204</v>
      </c>
      <c r="AC2400" s="5">
        <v>42648</v>
      </c>
      <c r="AF2400" s="1">
        <v>10029</v>
      </c>
      <c r="AI2400" s="1" t="s">
        <v>154</v>
      </c>
      <c r="AJ2400" s="1">
        <v>2008</v>
      </c>
      <c r="AK2400" s="1" t="s">
        <v>87</v>
      </c>
      <c r="AL2400" s="1">
        <v>76</v>
      </c>
    </row>
    <row r="2401" spans="1:38" x14ac:dyDescent="0.2">
      <c r="A2401" s="2" t="str">
        <f>HYPERLINK("https://www.compass.com/listing/1810-3rd-avenue-unit-b8a-manhattan-ny-10029/4852326643038945825/","1810 3rd Ave, Unit B8A")</f>
        <v>1810 3rd Ave, Unit B8A</v>
      </c>
      <c r="B2401" s="2" t="str">
        <f t="shared" si="389"/>
        <v>The Art House Condominiums</v>
      </c>
      <c r="C2401" s="1" t="s">
        <v>82</v>
      </c>
      <c r="D2401" s="1" t="s">
        <v>41</v>
      </c>
      <c r="E2401" s="3">
        <v>799000</v>
      </c>
      <c r="F2401" s="1">
        <v>1029.6391752577299</v>
      </c>
      <c r="G2401" s="1">
        <v>3.5</v>
      </c>
      <c r="H2401" s="1">
        <v>1</v>
      </c>
      <c r="I2401" s="1">
        <v>1</v>
      </c>
      <c r="J2401" s="1">
        <v>1</v>
      </c>
      <c r="K2401" s="1">
        <v>1</v>
      </c>
      <c r="M2401" s="1">
        <v>776</v>
      </c>
      <c r="N2401" s="1">
        <v>776.84</v>
      </c>
      <c r="O2401" s="1">
        <v>1152.1500000000001</v>
      </c>
      <c r="P2401" s="1">
        <v>375.33333333333297</v>
      </c>
      <c r="Q2401" s="1" t="s">
        <v>42</v>
      </c>
      <c r="S2401" s="1" t="s">
        <v>42</v>
      </c>
      <c r="T2401" s="1" t="s">
        <v>203</v>
      </c>
      <c r="U2401" s="1">
        <v>29</v>
      </c>
      <c r="V2401" s="5">
        <v>43631</v>
      </c>
      <c r="W2401" s="5">
        <v>42375</v>
      </c>
      <c r="X2401" s="1">
        <v>799000</v>
      </c>
      <c r="Y2401" s="1">
        <v>799000</v>
      </c>
      <c r="Z2401" s="5">
        <v>42417</v>
      </c>
      <c r="AA2401" s="1">
        <v>799000</v>
      </c>
      <c r="AB2401" s="1" t="s">
        <v>204</v>
      </c>
      <c r="AC2401" s="5">
        <v>42531</v>
      </c>
      <c r="AF2401" s="1">
        <v>10029</v>
      </c>
      <c r="AI2401" s="1" t="s">
        <v>154</v>
      </c>
      <c r="AJ2401" s="1">
        <v>2008</v>
      </c>
      <c r="AK2401" s="1" t="s">
        <v>87</v>
      </c>
      <c r="AL2401" s="1">
        <v>76</v>
      </c>
    </row>
    <row r="2402" spans="1:38" x14ac:dyDescent="0.2">
      <c r="A2402" s="2" t="str">
        <f>HYPERLINK("https://www.compass.com/listing/1810-3rd-avenue-unit-b7b-manhattan-ny-10029/803405236072855321/","1810 3rd Ave, Unit B7B")</f>
        <v>1810 3rd Ave, Unit B7B</v>
      </c>
      <c r="B2402" s="2" t="str">
        <f t="shared" si="389"/>
        <v>The Art House Condominiums</v>
      </c>
      <c r="C2402" s="1" t="s">
        <v>82</v>
      </c>
      <c r="D2402" s="1" t="s">
        <v>41</v>
      </c>
      <c r="E2402" s="3">
        <v>750000</v>
      </c>
      <c r="F2402" s="1">
        <v>944.58438287153604</v>
      </c>
      <c r="G2402" s="1">
        <v>3</v>
      </c>
      <c r="H2402" s="1">
        <v>1</v>
      </c>
      <c r="I2402" s="1">
        <v>1</v>
      </c>
      <c r="J2402" s="1">
        <v>1</v>
      </c>
      <c r="K2402" s="1">
        <v>1</v>
      </c>
      <c r="M2402" s="1">
        <v>794</v>
      </c>
      <c r="N2402" s="1">
        <v>767.16</v>
      </c>
      <c r="O2402" s="1">
        <v>1137.8</v>
      </c>
      <c r="P2402" s="1">
        <v>370.666666666666</v>
      </c>
      <c r="Q2402" s="1" t="s">
        <v>42</v>
      </c>
      <c r="S2402" s="1" t="s">
        <v>42</v>
      </c>
      <c r="T2402" s="1" t="s">
        <v>203</v>
      </c>
      <c r="U2402" s="1">
        <v>90</v>
      </c>
      <c r="V2402" s="5">
        <v>42753</v>
      </c>
      <c r="W2402" s="5">
        <v>42417</v>
      </c>
      <c r="X2402" s="1">
        <v>800000</v>
      </c>
      <c r="Y2402" s="1">
        <v>800000</v>
      </c>
      <c r="AA2402" s="1">
        <v>750000</v>
      </c>
      <c r="AB2402" s="1" t="s">
        <v>204</v>
      </c>
      <c r="AC2402" s="5">
        <v>42741</v>
      </c>
      <c r="AF2402" s="1">
        <v>10029</v>
      </c>
      <c r="AI2402" s="1" t="s">
        <v>154</v>
      </c>
      <c r="AJ2402" s="1">
        <v>2008</v>
      </c>
      <c r="AK2402" s="1" t="s">
        <v>87</v>
      </c>
      <c r="AL2402" s="1">
        <v>76</v>
      </c>
    </row>
    <row r="2403" spans="1:38" x14ac:dyDescent="0.2">
      <c r="A2403" s="2" t="str">
        <f>HYPERLINK("https://www.compass.com/listing/1810-3rd-avenue-unit-a6c-manhattan-ny-10029/531336414242285169/","1810 3rd Ave, Unit A6C")</f>
        <v>1810 3rd Ave, Unit A6C</v>
      </c>
      <c r="B2403" s="2" t="str">
        <f t="shared" si="389"/>
        <v>The Art House Condominiums</v>
      </c>
      <c r="C2403" s="1" t="s">
        <v>82</v>
      </c>
      <c r="D2403" s="1" t="s">
        <v>41</v>
      </c>
      <c r="E2403" s="3">
        <v>765000</v>
      </c>
      <c r="F2403" s="1">
        <v>964.69104665825898</v>
      </c>
      <c r="G2403" s="1">
        <v>5</v>
      </c>
      <c r="H2403" s="1">
        <v>3</v>
      </c>
      <c r="I2403" s="1">
        <v>1</v>
      </c>
      <c r="J2403" s="1">
        <v>1</v>
      </c>
      <c r="K2403" s="1">
        <v>1</v>
      </c>
      <c r="M2403" s="1">
        <v>793</v>
      </c>
      <c r="N2403" s="1">
        <v>729</v>
      </c>
      <c r="O2403" s="1">
        <v>1306</v>
      </c>
      <c r="P2403" s="1">
        <v>577</v>
      </c>
      <c r="Q2403" s="1" t="s">
        <v>42</v>
      </c>
      <c r="S2403" s="1" t="s">
        <v>42</v>
      </c>
      <c r="T2403" s="1" t="s">
        <v>203</v>
      </c>
      <c r="V2403" s="5">
        <v>44287</v>
      </c>
      <c r="W2403" s="5">
        <v>43985</v>
      </c>
      <c r="X2403" s="1">
        <v>799900</v>
      </c>
      <c r="Y2403" s="1">
        <v>799900</v>
      </c>
      <c r="Z2403" s="5">
        <v>43985</v>
      </c>
      <c r="AA2403" s="1">
        <v>765000</v>
      </c>
      <c r="AB2403" s="1" t="s">
        <v>204</v>
      </c>
      <c r="AC2403" s="5">
        <v>44103</v>
      </c>
      <c r="AF2403" s="1">
        <v>10029</v>
      </c>
      <c r="AI2403" s="1" t="s">
        <v>1799</v>
      </c>
      <c r="AJ2403" s="1">
        <v>2008</v>
      </c>
      <c r="AK2403" s="1" t="s">
        <v>87</v>
      </c>
      <c r="AL2403" s="1">
        <v>76</v>
      </c>
    </row>
    <row r="2404" spans="1:38" x14ac:dyDescent="0.2">
      <c r="A2404" s="2" t="str">
        <f>HYPERLINK("https://www.compass.com/listing/1399-park-avenue-unit-6a-manhattan-ny-10029/355013180924708865/","1399 Park Ave, Unit 6A")</f>
        <v>1399 Park Ave, Unit 6A</v>
      </c>
      <c r="B2404" s="2" t="str">
        <f t="shared" ref="B2404:B2453" si="390">HYPERLINK("https://www.compass.com/building/1399-park-manhattan-ny/281988559521557189/","1399 Park")</f>
        <v>1399 Park</v>
      </c>
      <c r="C2404" s="1" t="s">
        <v>82</v>
      </c>
      <c r="D2404" s="1" t="s">
        <v>41</v>
      </c>
      <c r="E2404" s="3">
        <v>995000</v>
      </c>
      <c r="F2404" s="1">
        <v>1124.2937853107301</v>
      </c>
      <c r="G2404" s="1">
        <v>4</v>
      </c>
      <c r="H2404" s="1">
        <v>2</v>
      </c>
      <c r="I2404" s="1">
        <v>2</v>
      </c>
      <c r="J2404" s="1">
        <v>2</v>
      </c>
      <c r="K2404" s="1">
        <v>2</v>
      </c>
      <c r="M2404" s="1">
        <v>885</v>
      </c>
      <c r="N2404" s="1">
        <v>1014</v>
      </c>
      <c r="O2404" s="1">
        <v>1569</v>
      </c>
      <c r="P2404" s="1">
        <v>555</v>
      </c>
      <c r="Q2404" s="1" t="s">
        <v>42</v>
      </c>
      <c r="S2404" s="1" t="s">
        <v>42</v>
      </c>
      <c r="T2404" s="1" t="s">
        <v>203</v>
      </c>
      <c r="U2404" s="1">
        <v>29</v>
      </c>
      <c r="V2404" s="5">
        <v>43867</v>
      </c>
      <c r="W2404" s="5">
        <v>43741</v>
      </c>
      <c r="X2404" s="1">
        <v>995000</v>
      </c>
      <c r="Y2404" s="1">
        <v>995000</v>
      </c>
      <c r="Z2404" s="5">
        <v>43771</v>
      </c>
      <c r="AA2404" s="1">
        <v>995000</v>
      </c>
      <c r="AB2404" s="1" t="s">
        <v>1830</v>
      </c>
      <c r="AC2404" s="5">
        <v>43853</v>
      </c>
      <c r="AF2404" s="1">
        <v>10029</v>
      </c>
      <c r="AI2404" s="1" t="s">
        <v>52</v>
      </c>
      <c r="AJ2404" s="1">
        <v>2019</v>
      </c>
      <c r="AK2404" s="1" t="s">
        <v>87</v>
      </c>
      <c r="AL2404" s="1">
        <v>72</v>
      </c>
    </row>
    <row r="2405" spans="1:38" x14ac:dyDescent="0.2">
      <c r="A2405" s="2" t="str">
        <f>HYPERLINK("https://www.compass.com/listing/1399-park-avenue-unit-8c-manhattan-ny-10029/394250580508567921/","1399 Park Ave, Unit 8C")</f>
        <v>1399 Park Ave, Unit 8C</v>
      </c>
      <c r="B2405" s="2" t="str">
        <f t="shared" si="390"/>
        <v>1399 Park</v>
      </c>
      <c r="C2405" s="1" t="s">
        <v>82</v>
      </c>
      <c r="D2405" s="1" t="s">
        <v>41</v>
      </c>
      <c r="E2405" s="3">
        <v>985340</v>
      </c>
      <c r="F2405" s="1">
        <v>1024.2615384615301</v>
      </c>
      <c r="G2405" s="1">
        <v>4</v>
      </c>
      <c r="H2405" s="1">
        <v>2</v>
      </c>
      <c r="I2405" s="1">
        <v>2</v>
      </c>
      <c r="J2405" s="1">
        <v>2</v>
      </c>
      <c r="K2405" s="1">
        <v>2</v>
      </c>
      <c r="M2405" s="1">
        <v>962</v>
      </c>
      <c r="N2405" s="1">
        <v>1117.52</v>
      </c>
      <c r="O2405" s="1">
        <v>1812.01</v>
      </c>
      <c r="P2405" s="1">
        <v>694.5</v>
      </c>
      <c r="Q2405" s="1" t="s">
        <v>42</v>
      </c>
      <c r="S2405" s="1" t="s">
        <v>42</v>
      </c>
      <c r="T2405" s="1" t="s">
        <v>203</v>
      </c>
      <c r="V2405" s="5">
        <v>44288</v>
      </c>
      <c r="W2405" s="5">
        <v>43795</v>
      </c>
      <c r="X2405" s="1">
        <v>1175000</v>
      </c>
      <c r="Y2405" s="1">
        <v>1175000</v>
      </c>
      <c r="AA2405" s="1">
        <v>985339.6</v>
      </c>
      <c r="AB2405" s="1" t="s">
        <v>1831</v>
      </c>
      <c r="AC2405" s="5">
        <v>43817</v>
      </c>
      <c r="AF2405" s="1">
        <v>10029</v>
      </c>
      <c r="AI2405" s="1" t="s">
        <v>52</v>
      </c>
      <c r="AJ2405" s="1">
        <v>2019</v>
      </c>
      <c r="AK2405" s="1" t="s">
        <v>87</v>
      </c>
      <c r="AL2405" s="1">
        <v>72</v>
      </c>
    </row>
    <row r="2406" spans="1:38" x14ac:dyDescent="0.2">
      <c r="A2406" s="2" t="str">
        <f>HYPERLINK("https://www.compass.com/listing/1399-park-avenue-unit-12b-manhattan-ny-10029/29515033964762721/","1399 Park Ave, Unit 12B")</f>
        <v>1399 Park Ave, Unit 12B</v>
      </c>
      <c r="B2406" s="2" t="str">
        <f t="shared" si="390"/>
        <v>1399 Park</v>
      </c>
      <c r="C2406" s="1" t="s">
        <v>82</v>
      </c>
      <c r="D2406" s="1" t="s">
        <v>41</v>
      </c>
      <c r="E2406" s="3">
        <v>1275000</v>
      </c>
      <c r="F2406" s="1">
        <v>1323.9875389408101</v>
      </c>
      <c r="G2406" s="1">
        <v>4</v>
      </c>
      <c r="H2406" s="1">
        <v>2</v>
      </c>
      <c r="I2406" s="1">
        <v>2</v>
      </c>
      <c r="J2406" s="1">
        <v>2</v>
      </c>
      <c r="K2406" s="1">
        <v>2</v>
      </c>
      <c r="M2406" s="1">
        <v>963</v>
      </c>
      <c r="N2406" s="1">
        <v>1118</v>
      </c>
      <c r="O2406" s="1">
        <v>1745</v>
      </c>
      <c r="P2406" s="1">
        <v>627</v>
      </c>
      <c r="Q2406" s="1" t="s">
        <v>42</v>
      </c>
      <c r="S2406" s="1" t="s">
        <v>42</v>
      </c>
      <c r="T2406" s="1" t="s">
        <v>203</v>
      </c>
      <c r="U2406" s="1">
        <v>187</v>
      </c>
      <c r="V2406" s="5">
        <v>43631</v>
      </c>
      <c r="W2406" s="5">
        <v>42824</v>
      </c>
      <c r="X2406" s="1">
        <v>1180000</v>
      </c>
      <c r="Y2406" s="1">
        <v>1275000</v>
      </c>
      <c r="Z2406" s="5">
        <v>43012</v>
      </c>
      <c r="AA2406" s="1">
        <v>1275000</v>
      </c>
      <c r="AB2406" s="1" t="s">
        <v>1832</v>
      </c>
      <c r="AC2406" s="5">
        <v>43614</v>
      </c>
      <c r="AF2406" s="1">
        <v>10029</v>
      </c>
      <c r="AI2406" s="1" t="s">
        <v>52</v>
      </c>
      <c r="AJ2406" s="1">
        <v>2019</v>
      </c>
      <c r="AK2406" s="1" t="s">
        <v>87</v>
      </c>
      <c r="AL2406" s="1">
        <v>72</v>
      </c>
    </row>
    <row r="2407" spans="1:38" x14ac:dyDescent="0.2">
      <c r="A2407" s="2" t="str">
        <f>HYPERLINK("https://www.compass.com/listing/1399-park-avenue-unit-11c-manhattan-ny-10029/29515032404522545/","1399 Park Ave, Unit 11C")</f>
        <v>1399 Park Ave, Unit 11C</v>
      </c>
      <c r="B2407" s="2" t="str">
        <f t="shared" si="390"/>
        <v>1399 Park</v>
      </c>
      <c r="C2407" s="1" t="s">
        <v>82</v>
      </c>
      <c r="D2407" s="1" t="s">
        <v>41</v>
      </c>
      <c r="E2407" s="3">
        <v>1306816</v>
      </c>
      <c r="F2407" s="1">
        <v>1358.43659043659</v>
      </c>
      <c r="G2407" s="1">
        <v>4</v>
      </c>
      <c r="H2407" s="1">
        <v>2</v>
      </c>
      <c r="I2407" s="1">
        <v>2</v>
      </c>
      <c r="J2407" s="1">
        <v>2</v>
      </c>
      <c r="K2407" s="1">
        <v>2</v>
      </c>
      <c r="M2407" s="1">
        <v>962</v>
      </c>
      <c r="N2407" s="1">
        <v>1118</v>
      </c>
      <c r="O2407" s="1">
        <v>1745</v>
      </c>
      <c r="P2407" s="1">
        <v>627</v>
      </c>
      <c r="Q2407" s="1" t="s">
        <v>42</v>
      </c>
      <c r="S2407" s="1" t="s">
        <v>42</v>
      </c>
      <c r="T2407" s="1" t="s">
        <v>203</v>
      </c>
      <c r="U2407" s="1">
        <v>83</v>
      </c>
      <c r="V2407" s="5">
        <v>43694</v>
      </c>
      <c r="W2407" s="5">
        <v>42854</v>
      </c>
      <c r="X2407" s="1">
        <v>1295000</v>
      </c>
      <c r="Y2407" s="1">
        <v>1295000</v>
      </c>
      <c r="Z2407" s="5">
        <v>42937</v>
      </c>
      <c r="AA2407" s="1">
        <v>1306816</v>
      </c>
      <c r="AB2407" s="1" t="s">
        <v>1833</v>
      </c>
      <c r="AC2407" s="5">
        <v>43637</v>
      </c>
      <c r="AF2407" s="1">
        <v>10029</v>
      </c>
      <c r="AI2407" s="1" t="s">
        <v>52</v>
      </c>
      <c r="AJ2407" s="1">
        <v>2019</v>
      </c>
      <c r="AK2407" s="1" t="s">
        <v>87</v>
      </c>
      <c r="AL2407" s="1">
        <v>72</v>
      </c>
    </row>
    <row r="2408" spans="1:38" x14ac:dyDescent="0.2">
      <c r="A2408" s="2" t="str">
        <f>HYPERLINK("https://www.compass.com/listing/1399-park-avenue-unit-7a-manhattan-ny-10029/253258153444101681/","1399 Park Ave, Unit 7A")</f>
        <v>1399 Park Ave, Unit 7A</v>
      </c>
      <c r="B2408" s="2" t="str">
        <f t="shared" si="390"/>
        <v>1399 Park</v>
      </c>
      <c r="C2408" s="1" t="s">
        <v>82</v>
      </c>
      <c r="D2408" s="1" t="s">
        <v>41</v>
      </c>
      <c r="E2408" s="3">
        <v>1050000</v>
      </c>
      <c r="F2408" s="1">
        <v>1187.78280542986</v>
      </c>
      <c r="G2408" s="1">
        <v>4</v>
      </c>
      <c r="H2408" s="1">
        <v>2</v>
      </c>
      <c r="I2408" s="1">
        <v>2</v>
      </c>
      <c r="J2408" s="1">
        <v>2</v>
      </c>
      <c r="K2408" s="1">
        <v>2</v>
      </c>
      <c r="M2408" s="1">
        <v>884</v>
      </c>
      <c r="N2408" s="1">
        <v>1027</v>
      </c>
      <c r="O2408" s="1">
        <v>1666</v>
      </c>
      <c r="P2408" s="1">
        <v>639</v>
      </c>
      <c r="Q2408" s="1" t="s">
        <v>42</v>
      </c>
      <c r="S2408" s="1" t="s">
        <v>42</v>
      </c>
      <c r="T2408" s="1" t="s">
        <v>203</v>
      </c>
      <c r="U2408" s="1">
        <v>84</v>
      </c>
      <c r="V2408" s="5">
        <v>43720</v>
      </c>
      <c r="W2408" s="5">
        <v>43586</v>
      </c>
      <c r="X2408" s="1">
        <v>1050000</v>
      </c>
      <c r="Y2408" s="1">
        <v>1050000</v>
      </c>
      <c r="Z2408" s="5">
        <v>43671</v>
      </c>
      <c r="AA2408" s="1">
        <v>1050000</v>
      </c>
      <c r="AB2408" s="1" t="s">
        <v>1834</v>
      </c>
      <c r="AC2408" s="5">
        <v>43706</v>
      </c>
      <c r="AF2408" s="1">
        <v>10029</v>
      </c>
      <c r="AI2408" s="1" t="s">
        <v>52</v>
      </c>
      <c r="AJ2408" s="1">
        <v>2019</v>
      </c>
      <c r="AK2408" s="1" t="s">
        <v>87</v>
      </c>
      <c r="AL2408" s="1">
        <v>72</v>
      </c>
    </row>
    <row r="2409" spans="1:38" x14ac:dyDescent="0.2">
      <c r="A2409" s="2" t="str">
        <f>HYPERLINK("https://www.compass.com/listing/1399-park-avenue-unit-12a-manhattan-ny-10029/253258153964084305/","1399 Park Ave, Unit 12A")</f>
        <v>1399 Park Ave, Unit 12A</v>
      </c>
      <c r="B2409" s="2" t="str">
        <f t="shared" si="390"/>
        <v>1399 Park</v>
      </c>
      <c r="C2409" s="1" t="s">
        <v>82</v>
      </c>
      <c r="D2409" s="1" t="s">
        <v>41</v>
      </c>
      <c r="E2409" s="3">
        <v>978938</v>
      </c>
      <c r="F2409" s="1">
        <v>1104.89625282167</v>
      </c>
      <c r="G2409" s="1">
        <v>4</v>
      </c>
      <c r="H2409" s="1">
        <v>2</v>
      </c>
      <c r="I2409" s="1">
        <v>2</v>
      </c>
      <c r="J2409" s="1">
        <v>2</v>
      </c>
      <c r="K2409" s="1">
        <v>2</v>
      </c>
      <c r="M2409" s="1">
        <v>886</v>
      </c>
      <c r="N2409" s="1">
        <v>1028</v>
      </c>
      <c r="O2409" s="1">
        <v>1667</v>
      </c>
      <c r="P2409" s="1">
        <v>639</v>
      </c>
      <c r="Q2409" s="1" t="s">
        <v>42</v>
      </c>
      <c r="S2409" s="1" t="s">
        <v>42</v>
      </c>
      <c r="T2409" s="1" t="s">
        <v>203</v>
      </c>
      <c r="U2409" s="1">
        <v>25</v>
      </c>
      <c r="V2409" s="5">
        <v>44288</v>
      </c>
      <c r="W2409" s="5">
        <v>43792</v>
      </c>
      <c r="Y2409" s="1">
        <v>1150000</v>
      </c>
      <c r="AA2409" s="1">
        <v>978938.08</v>
      </c>
      <c r="AB2409" s="1" t="s">
        <v>1835</v>
      </c>
      <c r="AC2409" s="5">
        <v>43817</v>
      </c>
      <c r="AF2409" s="1">
        <v>10029</v>
      </c>
      <c r="AI2409" s="1" t="s">
        <v>52</v>
      </c>
      <c r="AJ2409" s="1">
        <v>2019</v>
      </c>
      <c r="AK2409" s="1" t="s">
        <v>87</v>
      </c>
      <c r="AL2409" s="1">
        <v>72</v>
      </c>
    </row>
    <row r="2410" spans="1:38" x14ac:dyDescent="0.2">
      <c r="A2410" s="2" t="str">
        <f>HYPERLINK("https://www.compass.com/listing/1399-park-avenue-unit-14b-manhattan-ny-10029/253258154341649441/","1399 Park Ave, Unit 14B")</f>
        <v>1399 Park Ave, Unit 14B</v>
      </c>
      <c r="B2410" s="2" t="str">
        <f t="shared" si="390"/>
        <v>1399 Park</v>
      </c>
      <c r="C2410" s="1" t="s">
        <v>82</v>
      </c>
      <c r="D2410" s="1" t="s">
        <v>41</v>
      </c>
      <c r="E2410" s="3">
        <v>1192258</v>
      </c>
      <c r="F2410" s="1">
        <v>1243.23081334723</v>
      </c>
      <c r="G2410" s="1">
        <v>4</v>
      </c>
      <c r="H2410" s="1">
        <v>2</v>
      </c>
      <c r="I2410" s="1">
        <v>2</v>
      </c>
      <c r="J2410" s="1">
        <v>2</v>
      </c>
      <c r="K2410" s="1">
        <v>2</v>
      </c>
      <c r="M2410" s="1">
        <v>959</v>
      </c>
      <c r="N2410" s="1">
        <v>1113</v>
      </c>
      <c r="O2410" s="1">
        <v>1805</v>
      </c>
      <c r="P2410" s="1">
        <v>692</v>
      </c>
      <c r="Q2410" s="1" t="s">
        <v>42</v>
      </c>
      <c r="S2410" s="1" t="s">
        <v>42</v>
      </c>
      <c r="T2410" s="1" t="s">
        <v>203</v>
      </c>
      <c r="U2410" s="1">
        <v>188</v>
      </c>
      <c r="V2410" s="5">
        <v>44288</v>
      </c>
      <c r="W2410" s="5">
        <v>43586</v>
      </c>
      <c r="X2410" s="1">
        <v>1275000</v>
      </c>
      <c r="Y2410" s="1">
        <v>1275000</v>
      </c>
      <c r="AA2410" s="1">
        <v>1192258.3500000001</v>
      </c>
      <c r="AB2410" s="1" t="s">
        <v>1836</v>
      </c>
      <c r="AC2410" s="5">
        <v>43824</v>
      </c>
      <c r="AF2410" s="1">
        <v>10029</v>
      </c>
      <c r="AI2410" s="1" t="s">
        <v>52</v>
      </c>
      <c r="AJ2410" s="1">
        <v>2019</v>
      </c>
      <c r="AK2410" s="1" t="s">
        <v>87</v>
      </c>
      <c r="AL2410" s="1">
        <v>72</v>
      </c>
    </row>
    <row r="2411" spans="1:38" x14ac:dyDescent="0.2">
      <c r="A2411" s="2" t="str">
        <f>HYPERLINK("https://www.compass.com/listing/1399-park-avenue-unit-10a-manhattan-ny-10029/287523179008703905/","1399 Park Ave, Unit 10A")</f>
        <v>1399 Park Ave, Unit 10A</v>
      </c>
      <c r="B2411" s="2" t="str">
        <f t="shared" si="390"/>
        <v>1399 Park</v>
      </c>
      <c r="C2411" s="1" t="s">
        <v>82</v>
      </c>
      <c r="D2411" s="1" t="s">
        <v>41</v>
      </c>
      <c r="E2411" s="3">
        <v>910425</v>
      </c>
      <c r="F2411" s="1">
        <v>1029.8925339366499</v>
      </c>
      <c r="G2411" s="1">
        <v>4</v>
      </c>
      <c r="H2411" s="1">
        <v>2</v>
      </c>
      <c r="I2411" s="1">
        <v>2</v>
      </c>
      <c r="J2411" s="1">
        <v>2</v>
      </c>
      <c r="K2411" s="1">
        <v>2</v>
      </c>
      <c r="M2411" s="1">
        <v>884</v>
      </c>
      <c r="N2411" s="1">
        <v>1026</v>
      </c>
      <c r="O2411" s="1">
        <v>2024</v>
      </c>
      <c r="P2411" s="1">
        <v>998</v>
      </c>
      <c r="Q2411" s="1" t="s">
        <v>42</v>
      </c>
      <c r="S2411" s="1" t="s">
        <v>42</v>
      </c>
      <c r="T2411" s="1" t="s">
        <v>203</v>
      </c>
      <c r="U2411" s="1">
        <v>251</v>
      </c>
      <c r="V2411" s="5">
        <v>44175</v>
      </c>
      <c r="W2411" s="5">
        <v>43647</v>
      </c>
      <c r="X2411" s="1">
        <v>1100000</v>
      </c>
      <c r="Y2411" s="1">
        <v>1100000</v>
      </c>
      <c r="Z2411" s="5">
        <v>44020</v>
      </c>
      <c r="AA2411" s="1">
        <v>910425</v>
      </c>
      <c r="AB2411" s="1" t="s">
        <v>1837</v>
      </c>
      <c r="AC2411" s="5">
        <v>44159</v>
      </c>
      <c r="AF2411" s="1">
        <v>10029</v>
      </c>
      <c r="AI2411" s="1" t="s">
        <v>52</v>
      </c>
      <c r="AJ2411" s="1">
        <v>2019</v>
      </c>
      <c r="AK2411" s="1" t="s">
        <v>87</v>
      </c>
      <c r="AL2411" s="1">
        <v>72</v>
      </c>
    </row>
    <row r="2412" spans="1:38" x14ac:dyDescent="0.2">
      <c r="A2412" s="2" t="str">
        <f>HYPERLINK("https://www.compass.com/listing/1399-park-avenue-unit-7c-manhattan-ny-10029/378889458350056257/","1399 Park Ave, Unit 7C")</f>
        <v>1399 Park Ave, Unit 7C</v>
      </c>
      <c r="B2412" s="2" t="str">
        <f t="shared" si="390"/>
        <v>1399 Park</v>
      </c>
      <c r="C2412" s="1" t="s">
        <v>82</v>
      </c>
      <c r="D2412" s="1" t="s">
        <v>41</v>
      </c>
      <c r="E2412" s="3">
        <v>984234</v>
      </c>
      <c r="F2412" s="1">
        <v>1023.11259875259</v>
      </c>
      <c r="G2412" s="1">
        <v>4</v>
      </c>
      <c r="H2412" s="1">
        <v>2</v>
      </c>
      <c r="I2412" s="1">
        <v>2</v>
      </c>
      <c r="J2412" s="1">
        <v>2</v>
      </c>
      <c r="K2412" s="1">
        <v>2</v>
      </c>
      <c r="M2412" s="1">
        <v>962</v>
      </c>
      <c r="N2412" s="1">
        <v>1118</v>
      </c>
      <c r="O2412" s="1">
        <v>1813</v>
      </c>
      <c r="P2412" s="1">
        <v>695</v>
      </c>
      <c r="Q2412" s="1" t="s">
        <v>42</v>
      </c>
      <c r="S2412" s="1" t="s">
        <v>42</v>
      </c>
      <c r="T2412" s="1" t="s">
        <v>203</v>
      </c>
      <c r="U2412" s="1">
        <v>21</v>
      </c>
      <c r="V2412" s="5">
        <v>44288</v>
      </c>
      <c r="W2412" s="5">
        <v>43774</v>
      </c>
      <c r="X2412" s="1">
        <v>1155000</v>
      </c>
      <c r="Y2412" s="1">
        <v>1155000</v>
      </c>
      <c r="AA2412" s="1">
        <v>984234.32</v>
      </c>
      <c r="AB2412" s="1" t="s">
        <v>1829</v>
      </c>
      <c r="AC2412" s="5">
        <v>43819</v>
      </c>
      <c r="AF2412" s="1">
        <v>10029</v>
      </c>
      <c r="AI2412" s="1" t="s">
        <v>52</v>
      </c>
      <c r="AJ2412" s="1">
        <v>2019</v>
      </c>
      <c r="AK2412" s="1" t="s">
        <v>87</v>
      </c>
      <c r="AL2412" s="1">
        <v>72</v>
      </c>
    </row>
    <row r="2413" spans="1:38" x14ac:dyDescent="0.2">
      <c r="A2413" s="2" t="str">
        <f>HYPERLINK("https://www.compass.com/listing/1399-park-avenue-unit-11a-manhattan-ny-10029/420012497944688513/","1399 Park Ave, Unit 11A")</f>
        <v>1399 Park Ave, Unit 11A</v>
      </c>
      <c r="B2413" s="2" t="str">
        <f t="shared" si="390"/>
        <v>1399 Park</v>
      </c>
      <c r="C2413" s="1" t="s">
        <v>82</v>
      </c>
      <c r="D2413" s="1" t="s">
        <v>41</v>
      </c>
      <c r="E2413" s="3">
        <v>971500</v>
      </c>
      <c r="F2413" s="1">
        <v>1098.9814592760099</v>
      </c>
      <c r="H2413" s="1">
        <v>2</v>
      </c>
      <c r="J2413" s="1">
        <v>2</v>
      </c>
      <c r="K2413" s="1">
        <v>2</v>
      </c>
      <c r="M2413" s="1">
        <v>884</v>
      </c>
      <c r="N2413" s="1">
        <v>991</v>
      </c>
      <c r="O2413" s="1">
        <v>1567</v>
      </c>
      <c r="P2413" s="1">
        <v>576</v>
      </c>
      <c r="Q2413" s="1" t="s">
        <v>42</v>
      </c>
      <c r="S2413" s="1" t="s">
        <v>42</v>
      </c>
      <c r="T2413" s="1" t="s">
        <v>203</v>
      </c>
      <c r="AA2413" s="1">
        <v>971499.61</v>
      </c>
      <c r="AB2413" s="1" t="s">
        <v>1838</v>
      </c>
      <c r="AC2413" s="5">
        <v>43816</v>
      </c>
      <c r="AF2413" s="1">
        <v>10029</v>
      </c>
      <c r="AI2413" s="1" t="s">
        <v>52</v>
      </c>
      <c r="AJ2413" s="1">
        <v>2019</v>
      </c>
      <c r="AK2413" s="1" t="s">
        <v>55</v>
      </c>
      <c r="AL2413" s="1">
        <v>72</v>
      </c>
    </row>
    <row r="2414" spans="1:38" x14ac:dyDescent="0.2">
      <c r="A2414" s="2" t="str">
        <f>HYPERLINK("https://www.compass.com/listing/1399-park-avenue-unit-15a-manhattan-ny-10029/420012505234388961/","1399 Park Ave, Unit 15A")</f>
        <v>1399 Park Ave, Unit 15A</v>
      </c>
      <c r="B2414" s="2" t="str">
        <f t="shared" si="390"/>
        <v>1399 Park</v>
      </c>
      <c r="C2414" s="1" t="s">
        <v>82</v>
      </c>
      <c r="D2414" s="1" t="s">
        <v>41</v>
      </c>
      <c r="E2414" s="3">
        <v>984266</v>
      </c>
      <c r="F2414" s="1">
        <v>1113.42349547511</v>
      </c>
      <c r="H2414" s="1">
        <v>2</v>
      </c>
      <c r="J2414" s="1">
        <v>2</v>
      </c>
      <c r="K2414" s="1">
        <v>2</v>
      </c>
      <c r="M2414" s="1">
        <v>884</v>
      </c>
      <c r="N2414" s="1">
        <v>990</v>
      </c>
      <c r="O2414" s="1">
        <v>1565</v>
      </c>
      <c r="P2414" s="1">
        <v>575</v>
      </c>
      <c r="Q2414" s="1" t="s">
        <v>42</v>
      </c>
      <c r="S2414" s="1" t="s">
        <v>42</v>
      </c>
      <c r="T2414" s="1" t="s">
        <v>203</v>
      </c>
      <c r="AA2414" s="1">
        <v>984266.37</v>
      </c>
      <c r="AB2414" s="1" t="s">
        <v>1839</v>
      </c>
      <c r="AC2414" s="5">
        <v>43819</v>
      </c>
      <c r="AF2414" s="1">
        <v>10029</v>
      </c>
      <c r="AI2414" s="1" t="s">
        <v>52</v>
      </c>
      <c r="AJ2414" s="1">
        <v>2019</v>
      </c>
      <c r="AK2414" s="1" t="s">
        <v>55</v>
      </c>
      <c r="AL2414" s="1">
        <v>72</v>
      </c>
    </row>
    <row r="2415" spans="1:38" x14ac:dyDescent="0.2">
      <c r="A2415" s="2" t="str">
        <f>HYPERLINK("https://www.compass.com/listing/1399-park-avenue-unit-15f-manhattan-ny-10029/674625496222392681/","1399 Park Ave, Unit 15F")</f>
        <v>1399 Park Ave, Unit 15F</v>
      </c>
      <c r="B2415" s="2" t="str">
        <f t="shared" si="390"/>
        <v>1399 Park</v>
      </c>
      <c r="C2415" s="1" t="s">
        <v>82</v>
      </c>
      <c r="D2415" s="1" t="s">
        <v>41</v>
      </c>
      <c r="E2415" s="3">
        <v>730000</v>
      </c>
      <c r="F2415" s="1">
        <v>1431.3725490196</v>
      </c>
      <c r="H2415" s="1" t="s">
        <v>77</v>
      </c>
      <c r="J2415" s="1">
        <v>1</v>
      </c>
      <c r="K2415" s="1">
        <v>1</v>
      </c>
      <c r="M2415" s="1">
        <v>510</v>
      </c>
      <c r="N2415" s="1">
        <v>592</v>
      </c>
      <c r="O2415" s="1">
        <v>924</v>
      </c>
      <c r="P2415" s="1">
        <v>332</v>
      </c>
      <c r="Q2415" s="1" t="s">
        <v>42</v>
      </c>
      <c r="S2415" s="1" t="s">
        <v>42</v>
      </c>
      <c r="T2415" s="1" t="s">
        <v>203</v>
      </c>
      <c r="AA2415" s="1">
        <v>730000</v>
      </c>
      <c r="AB2415" s="1" t="s">
        <v>1840</v>
      </c>
      <c r="AC2415" s="5">
        <v>44176</v>
      </c>
      <c r="AF2415" s="1">
        <v>10029</v>
      </c>
      <c r="AI2415" s="1" t="s">
        <v>52</v>
      </c>
      <c r="AJ2415" s="1">
        <v>2019</v>
      </c>
      <c r="AK2415" s="1" t="s">
        <v>55</v>
      </c>
      <c r="AL2415" s="1">
        <v>72</v>
      </c>
    </row>
    <row r="2416" spans="1:38" x14ac:dyDescent="0.2">
      <c r="A2416" s="2" t="str">
        <f>HYPERLINK("https://www.compass.com/listing/1399-park-avenue-unit-10d-manhattan-ny-10029/266490412263302721/","1399 Park Ave, Unit 10D")</f>
        <v>1399 Park Ave, Unit 10D</v>
      </c>
      <c r="B2416" s="2" t="str">
        <f t="shared" si="390"/>
        <v>1399 Park</v>
      </c>
      <c r="C2416" s="1" t="s">
        <v>82</v>
      </c>
      <c r="D2416" s="1" t="s">
        <v>41</v>
      </c>
      <c r="E2416" s="3">
        <v>1425550</v>
      </c>
      <c r="F2416" s="1">
        <v>987.90713790713698</v>
      </c>
      <c r="G2416" s="1">
        <v>5</v>
      </c>
      <c r="H2416" s="1">
        <v>3</v>
      </c>
      <c r="I2416" s="1">
        <v>3</v>
      </c>
      <c r="J2416" s="1">
        <v>2.5</v>
      </c>
      <c r="K2416" s="1">
        <v>2</v>
      </c>
      <c r="L2416" s="1">
        <v>1</v>
      </c>
      <c r="M2416" s="4">
        <v>1443</v>
      </c>
      <c r="N2416" s="1">
        <v>1676.19</v>
      </c>
      <c r="O2416" s="1">
        <v>2717.86</v>
      </c>
      <c r="P2416" s="1">
        <v>1041.6666666666599</v>
      </c>
      <c r="Q2416" s="1" t="s">
        <v>42</v>
      </c>
      <c r="S2416" s="1" t="s">
        <v>42</v>
      </c>
      <c r="T2416" s="1" t="s">
        <v>203</v>
      </c>
      <c r="U2416" s="1">
        <v>43</v>
      </c>
      <c r="V2416" s="5">
        <v>44288</v>
      </c>
      <c r="W2416" s="5">
        <v>43783</v>
      </c>
      <c r="Y2416" s="1">
        <v>1795000</v>
      </c>
      <c r="AA2416" s="1">
        <v>1425550</v>
      </c>
      <c r="AB2416" s="1" t="s">
        <v>1841</v>
      </c>
      <c r="AC2416" s="5">
        <v>44384</v>
      </c>
      <c r="AF2416" s="1">
        <v>10029</v>
      </c>
      <c r="AI2416" s="1" t="s">
        <v>52</v>
      </c>
      <c r="AJ2416" s="1">
        <v>2019</v>
      </c>
      <c r="AK2416" s="1" t="s">
        <v>87</v>
      </c>
      <c r="AL2416" s="1">
        <v>72</v>
      </c>
    </row>
    <row r="2417" spans="1:38" x14ac:dyDescent="0.2">
      <c r="A2417" s="2" t="str">
        <f>HYPERLINK("https://www.compass.com/listing/1399-park-avenue-unit-11f-manhattan-ny-10029/253258152974306113/","1399 Park Ave, Unit 11F")</f>
        <v>1399 Park Ave, Unit 11F</v>
      </c>
      <c r="B2417" s="2" t="str">
        <f t="shared" si="390"/>
        <v>1399 Park</v>
      </c>
      <c r="C2417" s="1" t="s">
        <v>82</v>
      </c>
      <c r="D2417" s="1" t="s">
        <v>41</v>
      </c>
      <c r="E2417" s="3">
        <v>877789</v>
      </c>
      <c r="F2417" s="1">
        <v>1153.46826544021</v>
      </c>
      <c r="G2417" s="1">
        <v>3</v>
      </c>
      <c r="H2417" s="1">
        <v>1</v>
      </c>
      <c r="I2417" s="1">
        <v>1</v>
      </c>
      <c r="J2417" s="1">
        <v>1</v>
      </c>
      <c r="K2417" s="1">
        <v>1</v>
      </c>
      <c r="M2417" s="1">
        <v>761</v>
      </c>
      <c r="N2417" s="1">
        <v>883</v>
      </c>
      <c r="O2417" s="1">
        <v>1432</v>
      </c>
      <c r="P2417" s="1">
        <v>549</v>
      </c>
      <c r="Q2417" s="1" t="s">
        <v>42</v>
      </c>
      <c r="S2417" s="1" t="s">
        <v>42</v>
      </c>
      <c r="T2417" s="1" t="s">
        <v>203</v>
      </c>
      <c r="V2417" s="5">
        <v>44288</v>
      </c>
      <c r="W2417" s="5">
        <v>43586</v>
      </c>
      <c r="X2417" s="1">
        <v>945000</v>
      </c>
      <c r="Y2417" s="1">
        <v>945000</v>
      </c>
      <c r="AA2417" s="1">
        <v>877789.35</v>
      </c>
      <c r="AB2417" s="1" t="s">
        <v>1842</v>
      </c>
      <c r="AC2417" s="5">
        <v>43817</v>
      </c>
      <c r="AF2417" s="1">
        <v>10029</v>
      </c>
      <c r="AI2417" s="1" t="s">
        <v>163</v>
      </c>
      <c r="AJ2417" s="1">
        <v>2019</v>
      </c>
      <c r="AK2417" s="1" t="s">
        <v>87</v>
      </c>
      <c r="AL2417" s="1">
        <v>72</v>
      </c>
    </row>
    <row r="2418" spans="1:38" x14ac:dyDescent="0.2">
      <c r="A2418" s="2" t="str">
        <f>HYPERLINK("https://www.compass.com/listing/1399-park-avenue-unit-10e-manhattan-ny-10029/403503020424479569/","1399 Park Ave, Unit 10E")</f>
        <v>1399 Park Ave, Unit 10E</v>
      </c>
      <c r="B2418" s="2" t="str">
        <f t="shared" si="390"/>
        <v>1399 Park</v>
      </c>
      <c r="C2418" s="1" t="s">
        <v>82</v>
      </c>
      <c r="D2418" s="1" t="s">
        <v>41</v>
      </c>
      <c r="E2418" s="3">
        <v>820712</v>
      </c>
      <c r="F2418" s="1">
        <v>1164.13055319148</v>
      </c>
      <c r="G2418" s="1">
        <v>3</v>
      </c>
      <c r="H2418" s="1">
        <v>1</v>
      </c>
      <c r="I2418" s="1">
        <v>1</v>
      </c>
      <c r="J2418" s="1">
        <v>1</v>
      </c>
      <c r="K2418" s="1">
        <v>1</v>
      </c>
      <c r="M2418" s="1">
        <v>705</v>
      </c>
      <c r="N2418" s="1">
        <v>818.35</v>
      </c>
      <c r="O2418" s="1">
        <v>1326.91</v>
      </c>
      <c r="P2418" s="1">
        <v>508.58333333333297</v>
      </c>
      <c r="Q2418" s="1" t="s">
        <v>42</v>
      </c>
      <c r="S2418" s="1" t="s">
        <v>42</v>
      </c>
      <c r="T2418" s="1" t="s">
        <v>203</v>
      </c>
      <c r="V2418" s="5">
        <v>44288</v>
      </c>
      <c r="W2418" s="5">
        <v>43808</v>
      </c>
      <c r="X2418" s="1">
        <v>855000</v>
      </c>
      <c r="Y2418" s="1">
        <v>855000</v>
      </c>
      <c r="AA2418" s="1">
        <v>820712.04</v>
      </c>
      <c r="AB2418" s="1" t="s">
        <v>1843</v>
      </c>
      <c r="AC2418" s="5">
        <v>43819</v>
      </c>
      <c r="AF2418" s="1">
        <v>10029</v>
      </c>
      <c r="AI2418" s="1" t="s">
        <v>52</v>
      </c>
      <c r="AJ2418" s="1">
        <v>2019</v>
      </c>
      <c r="AK2418" s="1" t="s">
        <v>87</v>
      </c>
      <c r="AL2418" s="1">
        <v>72</v>
      </c>
    </row>
    <row r="2419" spans="1:38" x14ac:dyDescent="0.2">
      <c r="A2419" s="2" t="str">
        <f>HYPERLINK("https://www.compass.com/listing/1399-park-avenue-unit-10f-manhattan-ny-10029/406696737585626337/","1399 Park Ave, Unit 10F")</f>
        <v>1399 Park Ave, Unit 10F</v>
      </c>
      <c r="B2419" s="2" t="str">
        <f t="shared" si="390"/>
        <v>1399 Park</v>
      </c>
      <c r="C2419" s="1" t="s">
        <v>82</v>
      </c>
      <c r="D2419" s="1" t="s">
        <v>41</v>
      </c>
      <c r="E2419" s="3">
        <v>884933</v>
      </c>
      <c r="F2419" s="1">
        <v>1158.2892146596801</v>
      </c>
      <c r="G2419" s="1">
        <v>3</v>
      </c>
      <c r="H2419" s="1">
        <v>1</v>
      </c>
      <c r="I2419" s="1">
        <v>1</v>
      </c>
      <c r="J2419" s="1">
        <v>1</v>
      </c>
      <c r="K2419" s="1">
        <v>1</v>
      </c>
      <c r="M2419" s="1">
        <v>764</v>
      </c>
      <c r="N2419" s="1">
        <v>887</v>
      </c>
      <c r="O2419" s="1">
        <v>1438</v>
      </c>
      <c r="P2419" s="1">
        <v>551</v>
      </c>
      <c r="Q2419" s="1" t="s">
        <v>42</v>
      </c>
      <c r="S2419" s="1" t="s">
        <v>42</v>
      </c>
      <c r="T2419" s="1" t="s">
        <v>203</v>
      </c>
      <c r="V2419" s="5">
        <v>44288</v>
      </c>
      <c r="W2419" s="5">
        <v>43812</v>
      </c>
      <c r="X2419" s="1">
        <v>930000</v>
      </c>
      <c r="Y2419" s="1">
        <v>930000</v>
      </c>
      <c r="AA2419" s="1">
        <v>884932.96</v>
      </c>
      <c r="AB2419" s="1" t="s">
        <v>1844</v>
      </c>
      <c r="AC2419" s="5">
        <v>43819</v>
      </c>
      <c r="AF2419" s="1">
        <v>10029</v>
      </c>
      <c r="AI2419" s="1" t="s">
        <v>163</v>
      </c>
      <c r="AJ2419" s="1">
        <v>2019</v>
      </c>
      <c r="AK2419" s="1" t="s">
        <v>87</v>
      </c>
      <c r="AL2419" s="1">
        <v>72</v>
      </c>
    </row>
    <row r="2420" spans="1:38" x14ac:dyDescent="0.2">
      <c r="A2420" s="2" t="str">
        <f>HYPERLINK("https://www.compass.com/listing/1399-park-avenue-unit-7f-manhattan-ny-10029/29515036078732961/","1399 Park Ave, Unit 7F")</f>
        <v>1399 Park Ave, Unit 7F</v>
      </c>
      <c r="B2420" s="2" t="str">
        <f t="shared" si="390"/>
        <v>1399 Park</v>
      </c>
      <c r="C2420" s="1" t="s">
        <v>82</v>
      </c>
      <c r="D2420" s="1" t="s">
        <v>41</v>
      </c>
      <c r="E2420" s="3">
        <v>877938</v>
      </c>
      <c r="F2420" s="1">
        <v>1155.1815789473601</v>
      </c>
      <c r="G2420" s="1">
        <v>3</v>
      </c>
      <c r="H2420" s="1">
        <v>1</v>
      </c>
      <c r="I2420" s="1">
        <v>1</v>
      </c>
      <c r="J2420" s="1">
        <v>1</v>
      </c>
      <c r="K2420" s="1">
        <v>1</v>
      </c>
      <c r="M2420" s="1">
        <v>760</v>
      </c>
      <c r="N2420" s="1">
        <v>883</v>
      </c>
      <c r="O2420" s="1">
        <v>1378</v>
      </c>
      <c r="P2420" s="1">
        <v>495</v>
      </c>
      <c r="Q2420" s="1" t="s">
        <v>42</v>
      </c>
      <c r="S2420" s="1" t="s">
        <v>42</v>
      </c>
      <c r="T2420" s="1" t="s">
        <v>203</v>
      </c>
      <c r="U2420" s="1">
        <v>64</v>
      </c>
      <c r="V2420" s="5">
        <v>43697</v>
      </c>
      <c r="W2420" s="5">
        <v>42802</v>
      </c>
      <c r="X2420" s="1">
        <v>885000</v>
      </c>
      <c r="Y2420" s="1">
        <v>885000</v>
      </c>
      <c r="Z2420" s="5">
        <v>42866</v>
      </c>
      <c r="AA2420" s="1">
        <v>877938</v>
      </c>
      <c r="AB2420" s="1" t="s">
        <v>1845</v>
      </c>
      <c r="AC2420" s="5">
        <v>43630</v>
      </c>
      <c r="AF2420" s="1">
        <v>10029</v>
      </c>
      <c r="AI2420" s="1" t="s">
        <v>52</v>
      </c>
      <c r="AJ2420" s="1">
        <v>2019</v>
      </c>
      <c r="AK2420" s="1" t="s">
        <v>87</v>
      </c>
      <c r="AL2420" s="1">
        <v>72</v>
      </c>
    </row>
    <row r="2421" spans="1:38" x14ac:dyDescent="0.2">
      <c r="A2421" s="2" t="str">
        <f>HYPERLINK("https://www.compass.com/listing/1399-park-avenue-unit-6f-manhattan-ny-10029/29515036682671841/","1399 Park Ave, Unit 6F")</f>
        <v>1399 Park Ave, Unit 6F</v>
      </c>
      <c r="B2421" s="2" t="str">
        <f t="shared" si="390"/>
        <v>1399 Park</v>
      </c>
      <c r="C2421" s="1" t="s">
        <v>82</v>
      </c>
      <c r="D2421" s="1" t="s">
        <v>41</v>
      </c>
      <c r="E2421" s="3">
        <v>875000</v>
      </c>
      <c r="F2421" s="1">
        <v>1151.3157894736801</v>
      </c>
      <c r="G2421" s="1">
        <v>3</v>
      </c>
      <c r="H2421" s="1">
        <v>1</v>
      </c>
      <c r="I2421" s="1">
        <v>1</v>
      </c>
      <c r="J2421" s="1">
        <v>1</v>
      </c>
      <c r="K2421" s="1">
        <v>1</v>
      </c>
      <c r="M2421" s="1">
        <v>760</v>
      </c>
      <c r="N2421" s="1">
        <v>851</v>
      </c>
      <c r="O2421" s="1">
        <v>1346</v>
      </c>
      <c r="P2421" s="1">
        <v>495</v>
      </c>
      <c r="Q2421" s="1" t="s">
        <v>42</v>
      </c>
      <c r="S2421" s="1" t="s">
        <v>42</v>
      </c>
      <c r="T2421" s="1" t="s">
        <v>203</v>
      </c>
      <c r="V2421" s="5">
        <v>43679</v>
      </c>
      <c r="W2421" s="5">
        <v>42788</v>
      </c>
      <c r="X2421" s="1">
        <v>875000</v>
      </c>
      <c r="Y2421" s="1">
        <v>875000</v>
      </c>
      <c r="Z2421" s="5">
        <v>42789</v>
      </c>
      <c r="AA2421" s="1">
        <v>875000</v>
      </c>
      <c r="AB2421" s="1" t="s">
        <v>1846</v>
      </c>
      <c r="AC2421" s="5">
        <v>43644</v>
      </c>
      <c r="AF2421" s="1">
        <v>10029</v>
      </c>
      <c r="AI2421" s="1" t="s">
        <v>52</v>
      </c>
      <c r="AJ2421" s="1">
        <v>2019</v>
      </c>
      <c r="AK2421" s="1" t="s">
        <v>87</v>
      </c>
      <c r="AL2421" s="1">
        <v>72</v>
      </c>
    </row>
    <row r="2422" spans="1:38" x14ac:dyDescent="0.2">
      <c r="A2422" s="2" t="str">
        <f>HYPERLINK("https://www.compass.com/listing/1399-park-avenue-unit-8f-manhattan-ny-10029/29515042168794561/","1399 Park Ave, Unit 8F")</f>
        <v>1399 Park Ave, Unit 8F</v>
      </c>
      <c r="B2422" s="2" t="str">
        <f t="shared" si="390"/>
        <v>1399 Park</v>
      </c>
      <c r="C2422" s="1" t="s">
        <v>82</v>
      </c>
      <c r="D2422" s="1" t="s">
        <v>41</v>
      </c>
      <c r="E2422" s="3">
        <v>918000</v>
      </c>
      <c r="F2422" s="1">
        <v>1201.5706806282701</v>
      </c>
      <c r="G2422" s="1">
        <v>3</v>
      </c>
      <c r="H2422" s="1">
        <v>1</v>
      </c>
      <c r="I2422" s="1">
        <v>1</v>
      </c>
      <c r="J2422" s="1">
        <v>1</v>
      </c>
      <c r="K2422" s="1">
        <v>1</v>
      </c>
      <c r="M2422" s="1">
        <v>764</v>
      </c>
      <c r="N2422" s="1">
        <v>851</v>
      </c>
      <c r="O2422" s="1">
        <v>1346</v>
      </c>
      <c r="P2422" s="1">
        <v>495</v>
      </c>
      <c r="Q2422" s="1" t="s">
        <v>42</v>
      </c>
      <c r="S2422" s="1" t="s">
        <v>42</v>
      </c>
      <c r="T2422" s="1" t="s">
        <v>203</v>
      </c>
      <c r="U2422" s="1">
        <v>17</v>
      </c>
      <c r="V2422" s="5">
        <v>43694</v>
      </c>
      <c r="W2422" s="5">
        <v>42739</v>
      </c>
      <c r="X2422" s="1">
        <v>918000</v>
      </c>
      <c r="Y2422" s="1">
        <v>918000</v>
      </c>
      <c r="Z2422" s="5">
        <v>42818</v>
      </c>
      <c r="AA2422" s="1">
        <v>918000</v>
      </c>
      <c r="AB2422" s="1" t="s">
        <v>1847</v>
      </c>
      <c r="AC2422" s="5">
        <v>43637</v>
      </c>
      <c r="AF2422" s="1">
        <v>10029</v>
      </c>
      <c r="AI2422" s="1" t="s">
        <v>52</v>
      </c>
      <c r="AJ2422" s="1">
        <v>2019</v>
      </c>
      <c r="AK2422" s="1" t="s">
        <v>87</v>
      </c>
      <c r="AL2422" s="1">
        <v>72</v>
      </c>
    </row>
    <row r="2423" spans="1:38" x14ac:dyDescent="0.2">
      <c r="A2423" s="2" t="str">
        <f>HYPERLINK("https://www.compass.com/listing/1399-park-avenue-unit-8e-manhattan-ny-10029/783653410929316305/","1399 Park Ave, Unit 8E")</f>
        <v>1399 Park Ave, Unit 8E</v>
      </c>
      <c r="B2423" s="2" t="str">
        <f t="shared" si="390"/>
        <v>1399 Park</v>
      </c>
      <c r="C2423" s="1" t="s">
        <v>82</v>
      </c>
      <c r="D2423" s="1" t="s">
        <v>41</v>
      </c>
      <c r="E2423" s="3">
        <v>812274</v>
      </c>
      <c r="F2423" s="1">
        <v>1152.1616737588599</v>
      </c>
      <c r="G2423" s="1">
        <v>3</v>
      </c>
      <c r="H2423" s="1">
        <v>1</v>
      </c>
      <c r="I2423" s="1">
        <v>1</v>
      </c>
      <c r="J2423" s="1">
        <v>1</v>
      </c>
      <c r="K2423" s="1">
        <v>1</v>
      </c>
      <c r="M2423" s="1">
        <v>705</v>
      </c>
      <c r="N2423" s="1">
        <v>818</v>
      </c>
      <c r="O2423" s="1">
        <v>1277</v>
      </c>
      <c r="P2423" s="1">
        <v>459</v>
      </c>
      <c r="Q2423" s="1" t="s">
        <v>42</v>
      </c>
      <c r="S2423" s="1" t="s">
        <v>42</v>
      </c>
      <c r="T2423" s="1" t="s">
        <v>203</v>
      </c>
      <c r="U2423" s="1">
        <v>163</v>
      </c>
      <c r="V2423" s="5">
        <v>44287</v>
      </c>
      <c r="W2423" s="5">
        <v>42738</v>
      </c>
      <c r="X2423" s="1">
        <v>815000</v>
      </c>
      <c r="Y2423" s="1">
        <v>875000</v>
      </c>
      <c r="AA2423" s="1">
        <v>812273.98</v>
      </c>
      <c r="AB2423" s="1" t="s">
        <v>1848</v>
      </c>
      <c r="AC2423" s="5">
        <v>43819</v>
      </c>
      <c r="AF2423" s="1">
        <v>10029</v>
      </c>
      <c r="AI2423" s="1" t="s">
        <v>52</v>
      </c>
      <c r="AJ2423" s="1">
        <v>2019</v>
      </c>
      <c r="AK2423" s="1" t="s">
        <v>87</v>
      </c>
      <c r="AL2423" s="1">
        <v>72</v>
      </c>
    </row>
    <row r="2424" spans="1:38" x14ac:dyDescent="0.2">
      <c r="A2424" s="2" t="str">
        <f>HYPERLINK("https://www.compass.com/listing/1399-park-avenue-unit-15b-manhattan-ny-10029/29515043368392721/","1399 Park Ave, Unit 15B")</f>
        <v>1399 Park Ave, Unit 15B</v>
      </c>
      <c r="B2424" s="2" t="str">
        <f t="shared" si="390"/>
        <v>1399 Park</v>
      </c>
      <c r="C2424" s="1" t="s">
        <v>82</v>
      </c>
      <c r="D2424" s="1" t="s">
        <v>41</v>
      </c>
      <c r="E2424" s="3">
        <v>1272812</v>
      </c>
      <c r="F2424" s="1">
        <v>1327.2283628779901</v>
      </c>
      <c r="G2424" s="1">
        <v>4</v>
      </c>
      <c r="H2424" s="1">
        <v>2</v>
      </c>
      <c r="I2424" s="1">
        <v>2</v>
      </c>
      <c r="J2424" s="1">
        <v>2</v>
      </c>
      <c r="K2424" s="1">
        <v>2</v>
      </c>
      <c r="M2424" s="1">
        <v>959</v>
      </c>
      <c r="N2424" s="1">
        <v>1074</v>
      </c>
      <c r="O2424" s="1">
        <v>1698</v>
      </c>
      <c r="P2424" s="1">
        <v>624</v>
      </c>
      <c r="Q2424" s="1" t="s">
        <v>42</v>
      </c>
      <c r="S2424" s="1" t="s">
        <v>42</v>
      </c>
      <c r="T2424" s="1" t="s">
        <v>203</v>
      </c>
      <c r="U2424" s="1">
        <v>10</v>
      </c>
      <c r="V2424" s="5">
        <v>43720</v>
      </c>
      <c r="W2424" s="5">
        <v>42693</v>
      </c>
      <c r="X2424" s="1">
        <v>1250000</v>
      </c>
      <c r="Y2424" s="1">
        <v>1250000</v>
      </c>
      <c r="Z2424" s="5">
        <v>42979</v>
      </c>
      <c r="AA2424" s="1">
        <v>1272812</v>
      </c>
      <c r="AB2424" s="1" t="s">
        <v>1849</v>
      </c>
      <c r="AC2424" s="5">
        <v>43697</v>
      </c>
      <c r="AF2424" s="1">
        <v>10029</v>
      </c>
      <c r="AI2424" s="1" t="s">
        <v>52</v>
      </c>
      <c r="AJ2424" s="1">
        <v>2019</v>
      </c>
      <c r="AK2424" s="1" t="s">
        <v>87</v>
      </c>
      <c r="AL2424" s="1">
        <v>72</v>
      </c>
    </row>
    <row r="2425" spans="1:38" x14ac:dyDescent="0.2">
      <c r="A2425" s="2" t="str">
        <f>HYPERLINK("https://www.compass.com/listing/1399-park-avenue-unit-17b-manhattan-ny-10029/373272998303105089/","1399 Park Ave, Unit 17B")</f>
        <v>1399 Park Ave, Unit 17B</v>
      </c>
      <c r="B2425" s="2" t="str">
        <f t="shared" si="390"/>
        <v>1399 Park</v>
      </c>
      <c r="C2425" s="1" t="s">
        <v>82</v>
      </c>
      <c r="D2425" s="1" t="s">
        <v>41</v>
      </c>
      <c r="E2425" s="3">
        <v>1843033</v>
      </c>
      <c r="F2425" s="1">
        <v>834.70674818840496</v>
      </c>
      <c r="G2425" s="1">
        <v>5</v>
      </c>
      <c r="H2425" s="1">
        <v>4</v>
      </c>
      <c r="I2425" s="1">
        <v>3</v>
      </c>
      <c r="J2425" s="1">
        <v>3</v>
      </c>
      <c r="K2425" s="1">
        <v>3</v>
      </c>
      <c r="M2425" s="4">
        <v>2208</v>
      </c>
      <c r="N2425" s="1">
        <v>2564.9899999999998</v>
      </c>
      <c r="O2425" s="1">
        <v>5060.99</v>
      </c>
      <c r="P2425" s="1">
        <v>2496</v>
      </c>
      <c r="Q2425" s="1" t="s">
        <v>42</v>
      </c>
      <c r="S2425" s="1" t="s">
        <v>42</v>
      </c>
      <c r="T2425" s="1" t="s">
        <v>203</v>
      </c>
      <c r="U2425" s="1">
        <v>280</v>
      </c>
      <c r="V2425" s="5">
        <v>44204</v>
      </c>
      <c r="W2425" s="5">
        <v>43766</v>
      </c>
      <c r="X2425" s="1">
        <v>2495000</v>
      </c>
      <c r="Y2425" s="1">
        <v>1965000</v>
      </c>
      <c r="Z2425" s="5">
        <v>44141</v>
      </c>
      <c r="AA2425" s="1">
        <v>1843032.5</v>
      </c>
      <c r="AB2425" s="1" t="s">
        <v>1850</v>
      </c>
      <c r="AC2425" s="5">
        <v>44195</v>
      </c>
      <c r="AF2425" s="1">
        <v>10029</v>
      </c>
      <c r="AI2425" s="1" t="s">
        <v>52</v>
      </c>
      <c r="AJ2425" s="1">
        <v>2019</v>
      </c>
      <c r="AK2425" s="1" t="s">
        <v>87</v>
      </c>
      <c r="AL2425" s="1">
        <v>72</v>
      </c>
    </row>
    <row r="2426" spans="1:38" x14ac:dyDescent="0.2">
      <c r="A2426" s="2" t="str">
        <f>HYPERLINK("https://www.compass.com/listing/1399-park-avenue-unit-7d-manhattan-ny-10029/801648260724372625/","1399 Park Ave, Unit 7D")</f>
        <v>1399 Park Ave, Unit 7D</v>
      </c>
      <c r="B2426" s="2" t="str">
        <f t="shared" si="390"/>
        <v>1399 Park</v>
      </c>
      <c r="C2426" s="1" t="s">
        <v>82</v>
      </c>
      <c r="D2426" s="1" t="s">
        <v>41</v>
      </c>
      <c r="E2426" s="3">
        <v>1650000</v>
      </c>
      <c r="F2426" s="1">
        <v>1143.4511434511401</v>
      </c>
      <c r="G2426" s="1">
        <v>6</v>
      </c>
      <c r="H2426" s="1">
        <v>3</v>
      </c>
      <c r="I2426" s="1">
        <v>3</v>
      </c>
      <c r="J2426" s="1">
        <v>2.5</v>
      </c>
      <c r="K2426" s="1">
        <v>2</v>
      </c>
      <c r="L2426" s="1">
        <v>1</v>
      </c>
      <c r="M2426" s="4">
        <v>1443</v>
      </c>
      <c r="N2426" s="1">
        <v>1676</v>
      </c>
      <c r="O2426" s="1">
        <v>2615</v>
      </c>
      <c r="P2426" s="1">
        <v>939</v>
      </c>
      <c r="Q2426" s="1" t="s">
        <v>42</v>
      </c>
      <c r="S2426" s="1" t="s">
        <v>42</v>
      </c>
      <c r="T2426" s="1" t="s">
        <v>203</v>
      </c>
      <c r="U2426" s="1">
        <v>97</v>
      </c>
      <c r="V2426" s="5">
        <v>44427</v>
      </c>
      <c r="W2426" s="5">
        <v>43046</v>
      </c>
      <c r="X2426" s="1">
        <v>1750000</v>
      </c>
      <c r="Y2426" s="1">
        <v>1750000</v>
      </c>
      <c r="Z2426" s="5">
        <v>43144</v>
      </c>
      <c r="AA2426" s="1">
        <v>1650000</v>
      </c>
      <c r="AB2426" s="1" t="s">
        <v>1851</v>
      </c>
      <c r="AC2426" s="5">
        <v>43614</v>
      </c>
      <c r="AF2426" s="1">
        <v>10029</v>
      </c>
      <c r="AI2426" s="1" t="s">
        <v>52</v>
      </c>
      <c r="AJ2426" s="1">
        <v>2019</v>
      </c>
      <c r="AK2426" s="1" t="s">
        <v>55</v>
      </c>
      <c r="AL2426" s="1">
        <v>72</v>
      </c>
    </row>
    <row r="2427" spans="1:38" x14ac:dyDescent="0.2">
      <c r="A2427" s="2" t="str">
        <f>HYPERLINK("https://www.compass.com/listing/1399-park-avenue-unit-6e-manhattan-ny-10029/29515030047282625/","1399 Park Ave, Unit 6E")</f>
        <v>1399 Park Ave, Unit 6E</v>
      </c>
      <c r="B2427" s="2" t="str">
        <f t="shared" si="390"/>
        <v>1399 Park</v>
      </c>
      <c r="C2427" s="1" t="s">
        <v>82</v>
      </c>
      <c r="D2427" s="1" t="s">
        <v>41</v>
      </c>
      <c r="E2427" s="3">
        <v>795000</v>
      </c>
      <c r="F2427" s="1">
        <v>1111.88811188811</v>
      </c>
      <c r="G2427" s="1">
        <v>3</v>
      </c>
      <c r="H2427" s="1">
        <v>1</v>
      </c>
      <c r="I2427" s="1">
        <v>1</v>
      </c>
      <c r="J2427" s="1">
        <v>1</v>
      </c>
      <c r="K2427" s="1">
        <v>1</v>
      </c>
      <c r="M2427" s="1">
        <v>715</v>
      </c>
      <c r="N2427" s="1">
        <v>818</v>
      </c>
      <c r="O2427" s="1">
        <v>1276</v>
      </c>
      <c r="P2427" s="1">
        <v>458</v>
      </c>
      <c r="Q2427" s="1" t="s">
        <v>42</v>
      </c>
      <c r="S2427" s="1" t="s">
        <v>42</v>
      </c>
      <c r="T2427" s="1" t="s">
        <v>203</v>
      </c>
      <c r="U2427" s="1">
        <v>41</v>
      </c>
      <c r="V2427" s="5">
        <v>44225</v>
      </c>
      <c r="W2427" s="5">
        <v>43046</v>
      </c>
      <c r="X2427" s="1">
        <v>795000</v>
      </c>
      <c r="Y2427" s="1">
        <v>795000</v>
      </c>
      <c r="Z2427" s="5">
        <v>43088</v>
      </c>
      <c r="AA2427" s="1">
        <v>795000</v>
      </c>
      <c r="AB2427" s="1" t="s">
        <v>1852</v>
      </c>
      <c r="AC2427" s="5">
        <v>43614</v>
      </c>
      <c r="AF2427" s="1">
        <v>10029</v>
      </c>
      <c r="AI2427" s="1" t="s">
        <v>123</v>
      </c>
      <c r="AJ2427" s="1">
        <v>2019</v>
      </c>
      <c r="AK2427" s="1" t="s">
        <v>55</v>
      </c>
      <c r="AL2427" s="1">
        <v>72</v>
      </c>
    </row>
    <row r="2428" spans="1:38" x14ac:dyDescent="0.2">
      <c r="A2428" s="2" t="str">
        <f>HYPERLINK("https://www.compass.com/listing/1399-park-avenue-unit-10f-manhattan-ny-10029/29515032110880289/","1399 Park Ave, Unit 10F")</f>
        <v>1399 Park Ave, Unit 10F</v>
      </c>
      <c r="B2428" s="2" t="str">
        <f t="shared" si="390"/>
        <v>1399 Park</v>
      </c>
      <c r="C2428" s="1" t="s">
        <v>82</v>
      </c>
      <c r="D2428" s="1" t="s">
        <v>41</v>
      </c>
      <c r="E2428" s="3">
        <v>884933</v>
      </c>
      <c r="F2428" s="1">
        <v>1158.2892146596801</v>
      </c>
      <c r="G2428" s="1">
        <v>3</v>
      </c>
      <c r="H2428" s="1">
        <v>1</v>
      </c>
      <c r="I2428" s="1">
        <v>1</v>
      </c>
      <c r="J2428" s="1">
        <v>1</v>
      </c>
      <c r="K2428" s="1">
        <v>1</v>
      </c>
      <c r="M2428" s="1">
        <v>764</v>
      </c>
      <c r="N2428" s="1">
        <v>887</v>
      </c>
      <c r="O2428" s="1">
        <v>1346</v>
      </c>
      <c r="P2428" s="1">
        <v>459</v>
      </c>
      <c r="Q2428" s="1" t="s">
        <v>42</v>
      </c>
      <c r="S2428" s="1" t="s">
        <v>42</v>
      </c>
      <c r="T2428" s="1" t="s">
        <v>203</v>
      </c>
      <c r="U2428" s="1">
        <v>78</v>
      </c>
      <c r="V2428" s="5">
        <v>43699</v>
      </c>
      <c r="W2428" s="5">
        <v>43104</v>
      </c>
      <c r="X2428" s="1">
        <v>975000</v>
      </c>
      <c r="Y2428" s="1">
        <v>995000</v>
      </c>
      <c r="Z2428" s="5">
        <v>43183</v>
      </c>
      <c r="AA2428" s="1">
        <v>884932.96</v>
      </c>
      <c r="AB2428" s="1" t="s">
        <v>1844</v>
      </c>
      <c r="AC2428" s="5">
        <v>43819</v>
      </c>
      <c r="AF2428" s="1">
        <v>10029</v>
      </c>
      <c r="AI2428" s="1" t="s">
        <v>163</v>
      </c>
      <c r="AJ2428" s="1">
        <v>2019</v>
      </c>
      <c r="AK2428" s="1" t="s">
        <v>55</v>
      </c>
      <c r="AL2428" s="1">
        <v>72</v>
      </c>
    </row>
    <row r="2429" spans="1:38" x14ac:dyDescent="0.2">
      <c r="A2429" s="2" t="str">
        <f>HYPERLINK("https://www.compass.com/listing/1399-park-avenue-unit-15e-manhattan-ny-10029/411668653476050369/","1399 Park Ave, Unit 15E")</f>
        <v>1399 Park Ave, Unit 15E</v>
      </c>
      <c r="B2429" s="2" t="str">
        <f t="shared" si="390"/>
        <v>1399 Park</v>
      </c>
      <c r="C2429" s="1" t="s">
        <v>82</v>
      </c>
      <c r="D2429" s="1" t="s">
        <v>41</v>
      </c>
      <c r="E2429" s="3">
        <v>1175000</v>
      </c>
      <c r="F2429" s="1">
        <v>1172.65469061876</v>
      </c>
      <c r="G2429" s="1">
        <v>4</v>
      </c>
      <c r="H2429" s="1">
        <v>2</v>
      </c>
      <c r="I2429" s="1">
        <v>2</v>
      </c>
      <c r="J2429" s="1">
        <v>2</v>
      </c>
      <c r="K2429" s="1">
        <v>2</v>
      </c>
      <c r="M2429" s="4">
        <v>1002</v>
      </c>
      <c r="N2429" s="1">
        <v>1163.42</v>
      </c>
      <c r="O2429" s="1">
        <v>2295.42</v>
      </c>
      <c r="P2429" s="1">
        <v>1132</v>
      </c>
      <c r="Q2429" s="1" t="s">
        <v>42</v>
      </c>
      <c r="S2429" s="1" t="s">
        <v>42</v>
      </c>
      <c r="T2429" s="1" t="s">
        <v>203</v>
      </c>
      <c r="U2429" s="1">
        <v>277</v>
      </c>
      <c r="V2429" s="5">
        <v>44274</v>
      </c>
      <c r="W2429" s="5">
        <v>43819</v>
      </c>
      <c r="X2429" s="1">
        <v>1325000</v>
      </c>
      <c r="Y2429" s="1">
        <v>1095000</v>
      </c>
      <c r="Z2429" s="5">
        <v>44190</v>
      </c>
      <c r="AA2429" s="1">
        <v>1175000</v>
      </c>
      <c r="AB2429" s="1" t="s">
        <v>1853</v>
      </c>
      <c r="AC2429" s="5">
        <v>44270</v>
      </c>
      <c r="AF2429" s="1">
        <v>10029</v>
      </c>
      <c r="AI2429" s="1" t="s">
        <v>52</v>
      </c>
      <c r="AJ2429" s="1">
        <v>2019</v>
      </c>
      <c r="AK2429" s="1" t="s">
        <v>87</v>
      </c>
      <c r="AL2429" s="1">
        <v>72</v>
      </c>
    </row>
    <row r="2430" spans="1:38" x14ac:dyDescent="0.2">
      <c r="A2430" s="2" t="str">
        <f>HYPERLINK("https://www.compass.com/listing/1399-park-avenue-unit-9f-manhattan-ny-10029/29515028377990497/","1399 Park Ave, Unit 9F")</f>
        <v>1399 Park Ave, Unit 9F</v>
      </c>
      <c r="B2430" s="2" t="str">
        <f t="shared" si="390"/>
        <v>1399 Park</v>
      </c>
      <c r="C2430" s="1" t="s">
        <v>82</v>
      </c>
      <c r="D2430" s="1" t="s">
        <v>41</v>
      </c>
      <c r="E2430" s="3">
        <v>933441</v>
      </c>
      <c r="F2430" s="1">
        <v>1221.78092931937</v>
      </c>
      <c r="G2430" s="1">
        <v>3</v>
      </c>
      <c r="H2430" s="1">
        <v>1</v>
      </c>
      <c r="I2430" s="1">
        <v>1</v>
      </c>
      <c r="J2430" s="1">
        <v>1</v>
      </c>
      <c r="K2430" s="1">
        <v>1</v>
      </c>
      <c r="M2430" s="1">
        <v>764</v>
      </c>
      <c r="N2430" s="1">
        <v>855</v>
      </c>
      <c r="O2430" s="1">
        <v>1352</v>
      </c>
      <c r="P2430" s="1">
        <v>497</v>
      </c>
      <c r="Q2430" s="1" t="s">
        <v>42</v>
      </c>
      <c r="S2430" s="1" t="s">
        <v>42</v>
      </c>
      <c r="T2430" s="1" t="s">
        <v>203</v>
      </c>
      <c r="U2430" s="1">
        <v>338</v>
      </c>
      <c r="V2430" s="5">
        <v>43631</v>
      </c>
      <c r="W2430" s="5">
        <v>42630</v>
      </c>
      <c r="X2430" s="1">
        <v>905000</v>
      </c>
      <c r="Y2430" s="1">
        <v>925000</v>
      </c>
      <c r="Z2430" s="5">
        <v>42969</v>
      </c>
      <c r="AA2430" s="1">
        <v>933440.63</v>
      </c>
      <c r="AB2430" s="1" t="s">
        <v>1854</v>
      </c>
      <c r="AC2430" s="5">
        <v>43629</v>
      </c>
      <c r="AF2430" s="1">
        <v>10029</v>
      </c>
      <c r="AI2430" s="1" t="s">
        <v>52</v>
      </c>
      <c r="AJ2430" s="1">
        <v>2019</v>
      </c>
      <c r="AK2430" s="1" t="s">
        <v>87</v>
      </c>
      <c r="AL2430" s="1">
        <v>72</v>
      </c>
    </row>
    <row r="2431" spans="1:38" x14ac:dyDescent="0.2">
      <c r="A2431" s="2" t="str">
        <f>HYPERLINK("https://www.compass.com/listing/1399-park-avenue-unit-8e-manhattan-ny-10029/384763034752061729/","1399 Park Ave, Unit 8E")</f>
        <v>1399 Park Ave, Unit 8E</v>
      </c>
      <c r="B2431" s="2" t="str">
        <f t="shared" si="390"/>
        <v>1399 Park</v>
      </c>
      <c r="C2431" s="1" t="s">
        <v>82</v>
      </c>
      <c r="D2431" s="1" t="s">
        <v>41</v>
      </c>
      <c r="E2431" s="3">
        <v>812274</v>
      </c>
      <c r="F2431" s="1">
        <v>1152.1616737588599</v>
      </c>
      <c r="G2431" s="1">
        <v>3</v>
      </c>
      <c r="H2431" s="1">
        <v>1</v>
      </c>
      <c r="I2431" s="1">
        <v>1</v>
      </c>
      <c r="J2431" s="1">
        <v>1</v>
      </c>
      <c r="K2431" s="1">
        <v>1</v>
      </c>
      <c r="M2431" s="1">
        <v>705</v>
      </c>
      <c r="N2431" s="1">
        <v>818.35</v>
      </c>
      <c r="O2431" s="1">
        <v>1326.91</v>
      </c>
      <c r="P2431" s="1">
        <v>508.58333333333297</v>
      </c>
      <c r="Q2431" s="1" t="s">
        <v>42</v>
      </c>
      <c r="S2431" s="1" t="s">
        <v>42</v>
      </c>
      <c r="T2431" s="1" t="s">
        <v>203</v>
      </c>
      <c r="U2431" s="1">
        <v>21</v>
      </c>
      <c r="V2431" s="5">
        <v>44288</v>
      </c>
      <c r="W2431" s="5">
        <v>43782</v>
      </c>
      <c r="X2431" s="1">
        <v>825000</v>
      </c>
      <c r="Y2431" s="1">
        <v>825000</v>
      </c>
      <c r="AA2431" s="1">
        <v>812273.98</v>
      </c>
      <c r="AB2431" s="1" t="s">
        <v>1848</v>
      </c>
      <c r="AC2431" s="5">
        <v>43819</v>
      </c>
      <c r="AF2431" s="1">
        <v>10029</v>
      </c>
      <c r="AI2431" s="1" t="s">
        <v>52</v>
      </c>
      <c r="AJ2431" s="1">
        <v>2019</v>
      </c>
      <c r="AK2431" s="1" t="s">
        <v>87</v>
      </c>
      <c r="AL2431" s="1">
        <v>72</v>
      </c>
    </row>
    <row r="2432" spans="1:38" x14ac:dyDescent="0.2">
      <c r="A2432" s="2" t="str">
        <f>HYPERLINK("https://www.compass.com/listing/1399-park-avenue-unit-6b-manhattan-ny-10029/324307937643875185/","1399 Park Ave, Unit 6B")</f>
        <v>1399 Park Ave, Unit 6B</v>
      </c>
      <c r="B2432" s="2" t="str">
        <f t="shared" si="390"/>
        <v>1399 Park</v>
      </c>
      <c r="C2432" s="1" t="s">
        <v>82</v>
      </c>
      <c r="D2432" s="1" t="s">
        <v>41</v>
      </c>
      <c r="E2432" s="3">
        <v>995000</v>
      </c>
      <c r="F2432" s="1">
        <v>965.08244422890402</v>
      </c>
      <c r="G2432" s="1">
        <v>4</v>
      </c>
      <c r="H2432" s="1">
        <v>2</v>
      </c>
      <c r="I2432" s="1">
        <v>2</v>
      </c>
      <c r="J2432" s="1">
        <v>2</v>
      </c>
      <c r="K2432" s="1">
        <v>2</v>
      </c>
      <c r="M2432" s="4">
        <v>1031</v>
      </c>
      <c r="N2432" s="1">
        <v>1197</v>
      </c>
      <c r="O2432" s="1">
        <v>1941</v>
      </c>
      <c r="P2432" s="1">
        <v>744</v>
      </c>
      <c r="Q2432" s="1" t="s">
        <v>42</v>
      </c>
      <c r="S2432" s="1" t="s">
        <v>42</v>
      </c>
      <c r="T2432" s="1" t="s">
        <v>203</v>
      </c>
      <c r="U2432" s="1">
        <v>15</v>
      </c>
      <c r="V2432" s="5">
        <v>43774</v>
      </c>
      <c r="W2432" s="5">
        <v>43684</v>
      </c>
      <c r="X2432" s="1">
        <v>995000</v>
      </c>
      <c r="Y2432" s="1">
        <v>995000</v>
      </c>
      <c r="Z2432" s="5">
        <v>43699</v>
      </c>
      <c r="AA2432" s="1">
        <v>995000</v>
      </c>
      <c r="AB2432" s="1" t="s">
        <v>1855</v>
      </c>
      <c r="AC2432" s="5">
        <v>43756</v>
      </c>
      <c r="AF2432" s="1">
        <v>10029</v>
      </c>
      <c r="AI2432" s="1" t="s">
        <v>52</v>
      </c>
      <c r="AJ2432" s="1">
        <v>2019</v>
      </c>
      <c r="AK2432" s="1" t="s">
        <v>87</v>
      </c>
      <c r="AL2432" s="1">
        <v>72</v>
      </c>
    </row>
    <row r="2433" spans="1:38" x14ac:dyDescent="0.2">
      <c r="A2433" s="2" t="str">
        <f>HYPERLINK("https://www.compass.com/listing/1399-park-avenue-unit-15d-manhattan-ny-10029/803325307167815721/","1399 Park Ave, Unit 15D")</f>
        <v>1399 Park Ave, Unit 15D</v>
      </c>
      <c r="B2433" s="2" t="str">
        <f t="shared" si="390"/>
        <v>1399 Park</v>
      </c>
      <c r="C2433" s="1" t="s">
        <v>82</v>
      </c>
      <c r="D2433" s="1" t="s">
        <v>41</v>
      </c>
      <c r="E2433" s="3">
        <v>1995515</v>
      </c>
      <c r="F2433" s="1">
        <v>1221.99353337415</v>
      </c>
      <c r="G2433" s="1">
        <v>5</v>
      </c>
      <c r="H2433" s="1">
        <v>3</v>
      </c>
      <c r="I2433" s="1">
        <v>3</v>
      </c>
      <c r="J2433" s="1">
        <v>2.5</v>
      </c>
      <c r="K2433" s="1">
        <v>2</v>
      </c>
      <c r="L2433" s="1">
        <v>1</v>
      </c>
      <c r="M2433" s="4">
        <v>1633</v>
      </c>
      <c r="N2433" s="1">
        <v>1896</v>
      </c>
      <c r="O2433" s="1">
        <v>3742</v>
      </c>
      <c r="P2433" s="1">
        <v>1846</v>
      </c>
      <c r="Q2433" s="1" t="s">
        <v>42</v>
      </c>
      <c r="S2433" s="1" t="s">
        <v>42</v>
      </c>
      <c r="T2433" s="1" t="s">
        <v>203</v>
      </c>
      <c r="V2433" s="5">
        <v>44047</v>
      </c>
      <c r="W2433" s="5">
        <v>43908</v>
      </c>
      <c r="X2433" s="1">
        <v>2150000</v>
      </c>
      <c r="Y2433" s="1">
        <v>2150000</v>
      </c>
      <c r="Z2433" s="5">
        <v>43909</v>
      </c>
      <c r="AA2433" s="1">
        <v>1995515.44</v>
      </c>
      <c r="AB2433" s="1" t="s">
        <v>1856</v>
      </c>
      <c r="AC2433" s="5">
        <v>44042</v>
      </c>
      <c r="AF2433" s="1">
        <v>10029</v>
      </c>
      <c r="AI2433" s="1" t="s">
        <v>52</v>
      </c>
      <c r="AJ2433" s="1">
        <v>2019</v>
      </c>
      <c r="AK2433" s="1" t="s">
        <v>87</v>
      </c>
      <c r="AL2433" s="1">
        <v>72</v>
      </c>
    </row>
    <row r="2434" spans="1:38" x14ac:dyDescent="0.2">
      <c r="A2434" s="2" t="str">
        <f>HYPERLINK("https://www.compass.com/listing/1399-park-avenue-unit-22a-manhattan-ny-10029/567119985322129009/","1399 Park Ave, Unit 22A")</f>
        <v>1399 Park Ave, Unit 22A</v>
      </c>
      <c r="B2434" s="2" t="str">
        <f t="shared" si="390"/>
        <v>1399 Park</v>
      </c>
      <c r="C2434" s="1" t="s">
        <v>82</v>
      </c>
      <c r="D2434" s="1" t="s">
        <v>41</v>
      </c>
      <c r="E2434" s="3">
        <v>3600000</v>
      </c>
      <c r="F2434" s="1">
        <v>1264.9332396345701</v>
      </c>
      <c r="H2434" s="1">
        <v>4</v>
      </c>
      <c r="J2434" s="1">
        <v>3.5</v>
      </c>
      <c r="M2434" s="4">
        <v>2846</v>
      </c>
      <c r="N2434" s="1">
        <v>3305</v>
      </c>
      <c r="O2434" s="1">
        <v>5158</v>
      </c>
      <c r="P2434" s="1">
        <v>1853</v>
      </c>
      <c r="Q2434" s="1" t="s">
        <v>42</v>
      </c>
      <c r="S2434" s="1" t="s">
        <v>42</v>
      </c>
      <c r="T2434" s="1" t="s">
        <v>203</v>
      </c>
      <c r="AA2434" s="1">
        <v>3600000</v>
      </c>
      <c r="AB2434" s="1" t="s">
        <v>1857</v>
      </c>
      <c r="AC2434" s="5">
        <v>44025</v>
      </c>
      <c r="AF2434" s="1">
        <v>10029</v>
      </c>
      <c r="AI2434" s="1" t="s">
        <v>52</v>
      </c>
      <c r="AJ2434" s="1">
        <v>2019</v>
      </c>
      <c r="AK2434" s="1" t="s">
        <v>55</v>
      </c>
      <c r="AL2434" s="1">
        <v>72</v>
      </c>
    </row>
    <row r="2435" spans="1:38" x14ac:dyDescent="0.2">
      <c r="A2435" s="2" t="str">
        <f>HYPERLINK("https://www.compass.com/listing/1399-park-avenue-unit-7d-manhattan-ny-10029/360780301394832193/","1399 Park Ave, Unit 7D")</f>
        <v>1399 Park Ave, Unit 7D</v>
      </c>
      <c r="B2435" s="2" t="str">
        <f t="shared" si="390"/>
        <v>1399 Park</v>
      </c>
      <c r="C2435" s="1" t="s">
        <v>82</v>
      </c>
      <c r="D2435" s="1" t="s">
        <v>41</v>
      </c>
      <c r="E2435" s="3">
        <v>1650000</v>
      </c>
      <c r="F2435" s="1">
        <v>1143.4511434511401</v>
      </c>
      <c r="G2435" s="1">
        <v>6</v>
      </c>
      <c r="H2435" s="1">
        <v>3</v>
      </c>
      <c r="I2435" s="1">
        <v>3</v>
      </c>
      <c r="J2435" s="1">
        <v>2.5</v>
      </c>
      <c r="K2435" s="1">
        <v>2</v>
      </c>
      <c r="L2435" s="1">
        <v>1</v>
      </c>
      <c r="M2435" s="4">
        <v>1443</v>
      </c>
      <c r="N2435" s="1">
        <v>1677</v>
      </c>
      <c r="O2435" s="1">
        <v>2719</v>
      </c>
      <c r="P2435" s="1">
        <v>1042</v>
      </c>
      <c r="Q2435" s="1" t="s">
        <v>42</v>
      </c>
      <c r="S2435" s="1" t="s">
        <v>42</v>
      </c>
      <c r="T2435" s="1" t="s">
        <v>203</v>
      </c>
      <c r="U2435" s="1">
        <v>29</v>
      </c>
      <c r="V2435" s="5">
        <v>43750</v>
      </c>
      <c r="W2435" s="5">
        <v>43585</v>
      </c>
      <c r="AA2435" s="1">
        <v>1650000</v>
      </c>
      <c r="AB2435" s="1" t="s">
        <v>1851</v>
      </c>
      <c r="AC2435" s="5">
        <v>43614</v>
      </c>
      <c r="AF2435" s="1">
        <v>10029</v>
      </c>
      <c r="AI2435" s="1" t="s">
        <v>52</v>
      </c>
      <c r="AJ2435" s="1">
        <v>2019</v>
      </c>
      <c r="AK2435" s="1" t="s">
        <v>87</v>
      </c>
      <c r="AL2435" s="1">
        <v>72</v>
      </c>
    </row>
    <row r="2436" spans="1:38" x14ac:dyDescent="0.2">
      <c r="A2436" s="2" t="str">
        <f>HYPERLINK("https://www.compass.com/listing/1399-park-avenue-unit-6d-manhattan-ny-10029/803353289466416185/","1399 Park Ave, Unit 6D")</f>
        <v>1399 Park Ave, Unit 6D</v>
      </c>
      <c r="B2436" s="2" t="str">
        <f t="shared" si="390"/>
        <v>1399 Park</v>
      </c>
      <c r="C2436" s="1" t="s">
        <v>82</v>
      </c>
      <c r="D2436" s="1" t="s">
        <v>41</v>
      </c>
      <c r="E2436" s="3">
        <v>1650000</v>
      </c>
      <c r="F2436" s="1">
        <v>1142.6592797783901</v>
      </c>
      <c r="G2436" s="1">
        <v>5</v>
      </c>
      <c r="H2436" s="1">
        <v>3</v>
      </c>
      <c r="I2436" s="1">
        <v>3</v>
      </c>
      <c r="J2436" s="1">
        <v>2.5</v>
      </c>
      <c r="K2436" s="1">
        <v>2</v>
      </c>
      <c r="L2436" s="1">
        <v>1</v>
      </c>
      <c r="M2436" s="4">
        <v>1444</v>
      </c>
      <c r="N2436" s="1">
        <v>1676</v>
      </c>
      <c r="O2436" s="1">
        <v>2718</v>
      </c>
      <c r="P2436" s="1">
        <v>1042</v>
      </c>
      <c r="Q2436" s="1" t="s">
        <v>42</v>
      </c>
      <c r="S2436" s="1" t="s">
        <v>42</v>
      </c>
      <c r="T2436" s="1" t="s">
        <v>203</v>
      </c>
      <c r="U2436" s="1">
        <v>2</v>
      </c>
      <c r="V2436" s="5">
        <v>43665</v>
      </c>
      <c r="W2436" s="5">
        <v>43586</v>
      </c>
      <c r="X2436" s="1">
        <v>1600000</v>
      </c>
      <c r="Y2436" s="1">
        <v>1600000</v>
      </c>
      <c r="AA2436" s="1">
        <v>1650000</v>
      </c>
      <c r="AB2436" s="1" t="s">
        <v>1858</v>
      </c>
      <c r="AC2436" s="5">
        <v>43623</v>
      </c>
      <c r="AF2436" s="1">
        <v>10029</v>
      </c>
      <c r="AI2436" s="1" t="s">
        <v>52</v>
      </c>
      <c r="AJ2436" s="1">
        <v>2019</v>
      </c>
      <c r="AK2436" s="1" t="s">
        <v>87</v>
      </c>
      <c r="AL2436" s="1">
        <v>72</v>
      </c>
    </row>
    <row r="2437" spans="1:38" x14ac:dyDescent="0.2">
      <c r="A2437" s="2" t="str">
        <f>HYPERLINK("https://www.compass.com/listing/1399-park-avenue-unit-8e-manhattan-ny-10029/29515038905694001/","1399 Park Ave, Unit 8E")</f>
        <v>1399 Park Ave, Unit 8E</v>
      </c>
      <c r="B2437" s="2" t="str">
        <f t="shared" si="390"/>
        <v>1399 Park</v>
      </c>
      <c r="C2437" s="1" t="s">
        <v>82</v>
      </c>
      <c r="D2437" s="1" t="s">
        <v>41</v>
      </c>
      <c r="E2437" s="3">
        <v>812274</v>
      </c>
      <c r="F2437" s="1">
        <v>1152.1616737588599</v>
      </c>
      <c r="G2437" s="1">
        <v>3</v>
      </c>
      <c r="H2437" s="1">
        <v>1</v>
      </c>
      <c r="I2437" s="1">
        <v>1</v>
      </c>
      <c r="J2437" s="1">
        <v>1</v>
      </c>
      <c r="K2437" s="1">
        <v>1</v>
      </c>
      <c r="M2437" s="1">
        <v>705</v>
      </c>
      <c r="N2437" s="1">
        <v>818</v>
      </c>
      <c r="O2437" s="1">
        <v>1277</v>
      </c>
      <c r="P2437" s="1">
        <v>459</v>
      </c>
      <c r="Q2437" s="1" t="s">
        <v>42</v>
      </c>
      <c r="S2437" s="1" t="s">
        <v>42</v>
      </c>
      <c r="T2437" s="1" t="s">
        <v>203</v>
      </c>
      <c r="U2437" s="1">
        <v>107</v>
      </c>
      <c r="V2437" s="5">
        <v>43699</v>
      </c>
      <c r="W2437" s="5">
        <v>43045</v>
      </c>
      <c r="X2437" s="1">
        <v>875000</v>
      </c>
      <c r="Y2437" s="1">
        <v>875000</v>
      </c>
      <c r="Z2437" s="5">
        <v>43153</v>
      </c>
      <c r="AA2437" s="1">
        <v>812273.98</v>
      </c>
      <c r="AB2437" s="1" t="s">
        <v>1848</v>
      </c>
      <c r="AC2437" s="5">
        <v>43819</v>
      </c>
      <c r="AF2437" s="1">
        <v>10029</v>
      </c>
      <c r="AI2437" s="1" t="s">
        <v>52</v>
      </c>
      <c r="AJ2437" s="1">
        <v>2019</v>
      </c>
      <c r="AK2437" s="1" t="s">
        <v>55</v>
      </c>
      <c r="AL2437" s="1">
        <v>72</v>
      </c>
    </row>
    <row r="2438" spans="1:38" x14ac:dyDescent="0.2">
      <c r="A2438" s="2" t="str">
        <f>HYPERLINK("https://www.compass.com/listing/1399-park-avenue-unit-11f-manhattan-ny-10029/803352724645014113/","1399 Park Ave, Unit 11F")</f>
        <v>1399 Park Ave, Unit 11F</v>
      </c>
      <c r="B2438" s="2" t="str">
        <f t="shared" si="390"/>
        <v>1399 Park</v>
      </c>
      <c r="C2438" s="1" t="s">
        <v>82</v>
      </c>
      <c r="D2438" s="1" t="s">
        <v>41</v>
      </c>
      <c r="E2438" s="3">
        <v>877789</v>
      </c>
      <c r="F2438" s="1">
        <v>1153.46826544021</v>
      </c>
      <c r="G2438" s="1">
        <v>3</v>
      </c>
      <c r="H2438" s="1">
        <v>1</v>
      </c>
      <c r="I2438" s="1">
        <v>1</v>
      </c>
      <c r="J2438" s="1">
        <v>1</v>
      </c>
      <c r="K2438" s="1">
        <v>1</v>
      </c>
      <c r="M2438" s="1">
        <v>761</v>
      </c>
      <c r="N2438" s="1">
        <v>883</v>
      </c>
      <c r="O2438" s="1">
        <v>1378</v>
      </c>
      <c r="P2438" s="1">
        <v>495</v>
      </c>
      <c r="Q2438" s="1" t="s">
        <v>42</v>
      </c>
      <c r="S2438" s="1" t="s">
        <v>42</v>
      </c>
      <c r="T2438" s="1" t="s">
        <v>203</v>
      </c>
      <c r="U2438" s="1">
        <v>139</v>
      </c>
      <c r="V2438" s="5">
        <v>43699</v>
      </c>
      <c r="W2438" s="5">
        <v>43032</v>
      </c>
      <c r="X2438" s="1">
        <v>995000</v>
      </c>
      <c r="Y2438" s="1">
        <v>995000</v>
      </c>
      <c r="Z2438" s="5">
        <v>43172</v>
      </c>
      <c r="AA2438" s="1">
        <v>877789.35</v>
      </c>
      <c r="AB2438" s="1" t="s">
        <v>1842</v>
      </c>
      <c r="AC2438" s="5">
        <v>43817</v>
      </c>
      <c r="AF2438" s="1">
        <v>10029</v>
      </c>
      <c r="AI2438" s="1" t="s">
        <v>52</v>
      </c>
      <c r="AJ2438" s="1">
        <v>2019</v>
      </c>
      <c r="AK2438" s="1" t="s">
        <v>55</v>
      </c>
      <c r="AL2438" s="1">
        <v>72</v>
      </c>
    </row>
    <row r="2439" spans="1:38" x14ac:dyDescent="0.2">
      <c r="A2439" s="2" t="str">
        <f>HYPERLINK("https://www.compass.com/listing/1399-park-avenue-unit-11d-manhattan-ny-10029/437141702886073873/","1399 Park Ave, Unit 11D")</f>
        <v>1399 Park Ave, Unit 11D</v>
      </c>
      <c r="B2439" s="2" t="str">
        <f t="shared" si="390"/>
        <v>1399 Park</v>
      </c>
      <c r="C2439" s="1" t="s">
        <v>82</v>
      </c>
      <c r="D2439" s="1" t="s">
        <v>41</v>
      </c>
      <c r="E2439" s="3">
        <v>1699552</v>
      </c>
      <c r="F2439" s="1">
        <v>1177.7905751905701</v>
      </c>
      <c r="H2439" s="1">
        <v>3</v>
      </c>
      <c r="J2439" s="1">
        <v>2.5</v>
      </c>
      <c r="M2439" s="4">
        <v>1443</v>
      </c>
      <c r="N2439" s="1">
        <v>1676</v>
      </c>
      <c r="O2439" s="1">
        <v>2616</v>
      </c>
      <c r="P2439" s="1">
        <v>940</v>
      </c>
      <c r="Q2439" s="1" t="s">
        <v>42</v>
      </c>
      <c r="S2439" s="1" t="s">
        <v>42</v>
      </c>
      <c r="T2439" s="1" t="s">
        <v>203</v>
      </c>
      <c r="AA2439" s="1">
        <v>1699551.8</v>
      </c>
      <c r="AB2439" s="1" t="s">
        <v>1859</v>
      </c>
      <c r="AC2439" s="5">
        <v>43824</v>
      </c>
      <c r="AF2439" s="1">
        <v>10029</v>
      </c>
      <c r="AI2439" s="1" t="s">
        <v>52</v>
      </c>
      <c r="AJ2439" s="1">
        <v>2019</v>
      </c>
      <c r="AK2439" s="1" t="s">
        <v>55</v>
      </c>
      <c r="AL2439" s="1">
        <v>72</v>
      </c>
    </row>
    <row r="2440" spans="1:38" x14ac:dyDescent="0.2">
      <c r="A2440" s="2" t="str">
        <f>HYPERLINK("https://www.compass.com/listing/1399-park-avenue-unit-19a-manhattan-ny-10029/817122517447697441/","1399 Park Ave, Unit 19A")</f>
        <v>1399 Park Ave, Unit 19A</v>
      </c>
      <c r="B2440" s="2" t="str">
        <f t="shared" si="390"/>
        <v>1399 Park</v>
      </c>
      <c r="C2440" s="1" t="s">
        <v>82</v>
      </c>
      <c r="D2440" s="1" t="s">
        <v>41</v>
      </c>
      <c r="E2440" s="3">
        <v>1985588</v>
      </c>
      <c r="F2440" s="1">
        <v>983.93830525272494</v>
      </c>
      <c r="H2440" s="1">
        <v>3</v>
      </c>
      <c r="J2440" s="1">
        <v>3</v>
      </c>
      <c r="M2440" s="4">
        <v>2018</v>
      </c>
      <c r="N2440" s="1">
        <v>2343</v>
      </c>
      <c r="O2440" s="1">
        <v>4624</v>
      </c>
      <c r="P2440" s="1">
        <v>2281</v>
      </c>
      <c r="Q2440" s="1" t="s">
        <v>42</v>
      </c>
      <c r="S2440" s="1" t="s">
        <v>42</v>
      </c>
      <c r="T2440" s="1" t="s">
        <v>203</v>
      </c>
      <c r="AA2440" s="1">
        <v>1985587.5</v>
      </c>
      <c r="AB2440" s="1" t="s">
        <v>1860</v>
      </c>
      <c r="AC2440" s="5">
        <v>44361</v>
      </c>
      <c r="AF2440" s="1">
        <v>10029</v>
      </c>
      <c r="AI2440" s="1" t="s">
        <v>52</v>
      </c>
      <c r="AJ2440" s="1">
        <v>2019</v>
      </c>
      <c r="AK2440" s="1" t="s">
        <v>55</v>
      </c>
      <c r="AL2440" s="1">
        <v>72</v>
      </c>
    </row>
    <row r="2441" spans="1:38" x14ac:dyDescent="0.2">
      <c r="A2441" s="2" t="str">
        <f>HYPERLINK("https://www.compass.com/listing/1399-park-avenue-unit-17a-manhattan-ny-10029/841525813773365985/","1399 Park Ave, Unit 17A")</f>
        <v>1399 Park Ave, Unit 17A</v>
      </c>
      <c r="B2441" s="2" t="str">
        <f t="shared" si="390"/>
        <v>1399 Park</v>
      </c>
      <c r="C2441" s="1" t="s">
        <v>82</v>
      </c>
      <c r="D2441" s="1" t="s">
        <v>41</v>
      </c>
      <c r="E2441" s="3">
        <v>1934675</v>
      </c>
      <c r="F2441" s="1">
        <v>958.70911793855305</v>
      </c>
      <c r="H2441" s="1">
        <v>3</v>
      </c>
      <c r="J2441" s="1">
        <v>3</v>
      </c>
      <c r="K2441" s="1">
        <v>3</v>
      </c>
      <c r="M2441" s="4">
        <v>2018</v>
      </c>
      <c r="N2441" s="1">
        <v>2344</v>
      </c>
      <c r="O2441" s="1">
        <v>3801</v>
      </c>
      <c r="P2441" s="1">
        <v>1457</v>
      </c>
      <c r="Q2441" s="1" t="s">
        <v>42</v>
      </c>
      <c r="S2441" s="1" t="s">
        <v>42</v>
      </c>
      <c r="T2441" s="1" t="s">
        <v>203</v>
      </c>
      <c r="AA2441" s="1">
        <v>1934675</v>
      </c>
      <c r="AB2441" s="1" t="s">
        <v>1861</v>
      </c>
      <c r="AC2441" s="5">
        <v>44361</v>
      </c>
      <c r="AF2441" s="1">
        <v>10029</v>
      </c>
      <c r="AI2441" s="1" t="s">
        <v>52</v>
      </c>
      <c r="AJ2441" s="1">
        <v>2019</v>
      </c>
      <c r="AK2441" s="1" t="s">
        <v>55</v>
      </c>
      <c r="AL2441" s="1">
        <v>72</v>
      </c>
    </row>
    <row r="2442" spans="1:38" x14ac:dyDescent="0.2">
      <c r="A2442" s="2" t="str">
        <f>HYPERLINK("https://www.compass.com/listing/1399-park-avenue-unit-16a-manhattan-ny-10029/574006092781427457/","1399 Park Ave, Unit 16A")</f>
        <v>1399 Park Ave, Unit 16A</v>
      </c>
      <c r="B2442" s="2" t="str">
        <f t="shared" si="390"/>
        <v>1399 Park</v>
      </c>
      <c r="C2442" s="1" t="s">
        <v>82</v>
      </c>
      <c r="D2442" s="1" t="s">
        <v>41</v>
      </c>
      <c r="E2442" s="3">
        <v>2160000</v>
      </c>
      <c r="F2442" s="1">
        <v>1070.3666997026701</v>
      </c>
      <c r="G2442" s="1">
        <v>5</v>
      </c>
      <c r="H2442" s="1">
        <v>3</v>
      </c>
      <c r="I2442" s="1">
        <v>3</v>
      </c>
      <c r="J2442" s="1">
        <v>3</v>
      </c>
      <c r="K2442" s="1">
        <v>3</v>
      </c>
      <c r="M2442" s="4">
        <v>2018</v>
      </c>
      <c r="N2442" s="1">
        <v>2822</v>
      </c>
      <c r="O2442" s="1">
        <v>5569</v>
      </c>
      <c r="P2442" s="1">
        <v>2747</v>
      </c>
      <c r="Q2442" s="1" t="s">
        <v>42</v>
      </c>
      <c r="S2442" s="1" t="s">
        <v>42</v>
      </c>
      <c r="T2442" s="1" t="s">
        <v>203</v>
      </c>
      <c r="U2442" s="1">
        <v>150</v>
      </c>
      <c r="V2442" s="5">
        <v>44266</v>
      </c>
      <c r="W2442" s="5">
        <v>44043</v>
      </c>
      <c r="X2442" s="1">
        <v>3100000</v>
      </c>
      <c r="Y2442" s="1">
        <v>3100000</v>
      </c>
      <c r="Z2442" s="5">
        <v>44194</v>
      </c>
      <c r="AA2442" s="1">
        <v>2160000</v>
      </c>
      <c r="AB2442" s="1" t="s">
        <v>1862</v>
      </c>
      <c r="AC2442" s="5">
        <v>44259</v>
      </c>
      <c r="AF2442" s="1">
        <v>10029</v>
      </c>
      <c r="AI2442" s="1" t="s">
        <v>1863</v>
      </c>
      <c r="AJ2442" s="1">
        <v>2019</v>
      </c>
      <c r="AK2442" s="1" t="s">
        <v>87</v>
      </c>
      <c r="AL2442" s="1">
        <v>72</v>
      </c>
    </row>
    <row r="2443" spans="1:38" x14ac:dyDescent="0.2">
      <c r="A2443" s="2" t="str">
        <f>HYPERLINK("https://www.compass.com/listing/1399-park-avenue-unit-6e-manhattan-ny-10029/841547405925240953/","1399 Park Ave, Unit 6E")</f>
        <v>1399 Park Ave, Unit 6E</v>
      </c>
      <c r="B2443" s="2" t="str">
        <f t="shared" si="390"/>
        <v>1399 Park</v>
      </c>
      <c r="C2443" s="1" t="s">
        <v>82</v>
      </c>
      <c r="D2443" s="1" t="s">
        <v>41</v>
      </c>
      <c r="E2443" s="3">
        <v>795000</v>
      </c>
      <c r="F2443" s="1">
        <v>1127.6595744680801</v>
      </c>
      <c r="G2443" s="1">
        <v>3</v>
      </c>
      <c r="H2443" s="1">
        <v>1</v>
      </c>
      <c r="J2443" s="1">
        <v>1</v>
      </c>
      <c r="K2443" s="1">
        <v>1</v>
      </c>
      <c r="M2443" s="1">
        <v>705</v>
      </c>
      <c r="S2443" s="1" t="s">
        <v>42</v>
      </c>
      <c r="T2443" s="1" t="s">
        <v>203</v>
      </c>
      <c r="U2443" s="1">
        <v>116</v>
      </c>
      <c r="V2443" s="5">
        <v>43875</v>
      </c>
      <c r="W2443" s="5">
        <v>43755</v>
      </c>
      <c r="X2443" s="1">
        <v>795000</v>
      </c>
      <c r="Y2443" s="1">
        <v>795000</v>
      </c>
      <c r="AA2443" s="1">
        <v>795000</v>
      </c>
      <c r="AB2443" s="1" t="s">
        <v>204</v>
      </c>
      <c r="AC2443" s="5">
        <v>43872</v>
      </c>
      <c r="AF2443" s="1">
        <v>10029</v>
      </c>
      <c r="AI2443" s="1" t="s">
        <v>52</v>
      </c>
      <c r="AJ2443" s="1">
        <v>2019</v>
      </c>
      <c r="AK2443" s="1" t="s">
        <v>55</v>
      </c>
      <c r="AL2443" s="1">
        <v>72</v>
      </c>
    </row>
    <row r="2444" spans="1:38" x14ac:dyDescent="0.2">
      <c r="A2444" s="2" t="str">
        <f>HYPERLINK("https://www.compass.com/listing/1399-park-avenue-unit-7e-manhattan-ny-10029/315085417803968353/","1399 Park Ave, Unit 7E")</f>
        <v>1399 Park Ave, Unit 7E</v>
      </c>
      <c r="B2444" s="2" t="str">
        <f t="shared" si="390"/>
        <v>1399 Park</v>
      </c>
      <c r="C2444" s="1" t="s">
        <v>82</v>
      </c>
      <c r="D2444" s="1" t="s">
        <v>41</v>
      </c>
      <c r="E2444" s="3">
        <v>775000</v>
      </c>
      <c r="F2444" s="1">
        <v>1099.2907801418401</v>
      </c>
      <c r="G2444" s="1">
        <v>3</v>
      </c>
      <c r="H2444" s="1">
        <v>1</v>
      </c>
      <c r="I2444" s="1">
        <v>1</v>
      </c>
      <c r="J2444" s="1">
        <v>1</v>
      </c>
      <c r="K2444" s="1">
        <v>1</v>
      </c>
      <c r="M2444" s="1">
        <v>705</v>
      </c>
      <c r="N2444" s="1">
        <v>818</v>
      </c>
      <c r="O2444" s="1">
        <v>1327</v>
      </c>
      <c r="P2444" s="1">
        <v>509</v>
      </c>
      <c r="Q2444" s="1" t="s">
        <v>42</v>
      </c>
      <c r="S2444" s="1" t="s">
        <v>42</v>
      </c>
      <c r="T2444" s="1" t="s">
        <v>203</v>
      </c>
      <c r="U2444" s="1">
        <v>96</v>
      </c>
      <c r="V2444" s="5">
        <v>43887</v>
      </c>
      <c r="W2444" s="5">
        <v>43686</v>
      </c>
      <c r="X2444" s="1">
        <v>810000</v>
      </c>
      <c r="Y2444" s="1">
        <v>795000</v>
      </c>
      <c r="Z2444" s="5">
        <v>43804</v>
      </c>
      <c r="AA2444" s="1">
        <v>775000</v>
      </c>
      <c r="AB2444" s="1" t="s">
        <v>1864</v>
      </c>
      <c r="AC2444" s="5">
        <v>43860</v>
      </c>
      <c r="AF2444" s="1">
        <v>10029</v>
      </c>
      <c r="AI2444" s="1" t="s">
        <v>52</v>
      </c>
      <c r="AJ2444" s="1">
        <v>2019</v>
      </c>
      <c r="AK2444" s="1" t="s">
        <v>87</v>
      </c>
      <c r="AL2444" s="1">
        <v>72</v>
      </c>
    </row>
    <row r="2445" spans="1:38" x14ac:dyDescent="0.2">
      <c r="A2445" s="2" t="str">
        <f>HYPERLINK("https://www.compass.com/listing/1399-park-avenue-unit-12e-manhattan-ny-10029/253258154786279313/","1399 Park Ave, Unit 12E")</f>
        <v>1399 Park Ave, Unit 12E</v>
      </c>
      <c r="B2445" s="2" t="str">
        <f t="shared" si="390"/>
        <v>1399 Park</v>
      </c>
      <c r="C2445" s="1" t="s">
        <v>82</v>
      </c>
      <c r="D2445" s="1" t="s">
        <v>41</v>
      </c>
      <c r="E2445" s="3">
        <v>1375000</v>
      </c>
      <c r="F2445" s="1">
        <v>1430.80124869927</v>
      </c>
      <c r="G2445" s="1">
        <v>4</v>
      </c>
      <c r="H2445" s="1">
        <v>2</v>
      </c>
      <c r="I2445" s="1">
        <v>2</v>
      </c>
      <c r="J2445" s="1">
        <v>2</v>
      </c>
      <c r="K2445" s="1">
        <v>2</v>
      </c>
      <c r="M2445" s="1">
        <v>961</v>
      </c>
      <c r="N2445" s="1">
        <v>1192</v>
      </c>
      <c r="O2445" s="1">
        <v>1933</v>
      </c>
      <c r="P2445" s="1">
        <v>741</v>
      </c>
      <c r="Q2445" s="1" t="s">
        <v>42</v>
      </c>
      <c r="S2445" s="1" t="s">
        <v>42</v>
      </c>
      <c r="T2445" s="1" t="s">
        <v>203</v>
      </c>
      <c r="U2445" s="1">
        <v>114</v>
      </c>
      <c r="V2445" s="5">
        <v>43742</v>
      </c>
      <c r="W2445" s="5">
        <v>43586</v>
      </c>
      <c r="X2445" s="1">
        <v>1395000</v>
      </c>
      <c r="Y2445" s="1">
        <v>1395000</v>
      </c>
      <c r="Z2445" s="5">
        <v>43700</v>
      </c>
      <c r="AA2445" s="1">
        <v>1375000</v>
      </c>
      <c r="AB2445" s="1" t="s">
        <v>1865</v>
      </c>
      <c r="AC2445" s="5">
        <v>43735</v>
      </c>
      <c r="AF2445" s="1">
        <v>10029</v>
      </c>
      <c r="AI2445" s="1" t="s">
        <v>163</v>
      </c>
      <c r="AJ2445" s="1">
        <v>2019</v>
      </c>
      <c r="AK2445" s="1" t="s">
        <v>87</v>
      </c>
      <c r="AL2445" s="1">
        <v>72</v>
      </c>
    </row>
    <row r="2446" spans="1:38" x14ac:dyDescent="0.2">
      <c r="A2446" s="2" t="str">
        <f>HYPERLINK("https://www.compass.com/listing/1399-park-avenue-unit-7e-manhattan-ny-10029/841550823829494513/","1399 Park Ave, Unit 7E")</f>
        <v>1399 Park Ave, Unit 7E</v>
      </c>
      <c r="B2446" s="2" t="str">
        <f t="shared" si="390"/>
        <v>1399 Park</v>
      </c>
      <c r="C2446" s="1" t="s">
        <v>82</v>
      </c>
      <c r="D2446" s="1" t="s">
        <v>41</v>
      </c>
      <c r="E2446" s="3">
        <v>795000</v>
      </c>
      <c r="F2446" s="1">
        <v>1127.6595744680801</v>
      </c>
      <c r="G2446" s="1">
        <v>3</v>
      </c>
      <c r="H2446" s="1">
        <v>1</v>
      </c>
      <c r="J2446" s="1">
        <v>1</v>
      </c>
      <c r="K2446" s="1">
        <v>1</v>
      </c>
      <c r="M2446" s="1">
        <v>705</v>
      </c>
      <c r="N2446" s="1">
        <v>818</v>
      </c>
      <c r="O2446" s="1">
        <v>1327</v>
      </c>
      <c r="P2446" s="1">
        <v>509</v>
      </c>
      <c r="S2446" s="1" t="s">
        <v>42</v>
      </c>
      <c r="T2446" s="1" t="s">
        <v>203</v>
      </c>
      <c r="U2446" s="1">
        <v>97</v>
      </c>
      <c r="V2446" s="5">
        <v>44415</v>
      </c>
      <c r="W2446" s="5">
        <v>43686</v>
      </c>
      <c r="X2446" s="1">
        <v>810000</v>
      </c>
      <c r="Y2446" s="1">
        <v>795000</v>
      </c>
      <c r="Z2446" s="5">
        <v>43804</v>
      </c>
      <c r="AA2446" s="1">
        <v>795000</v>
      </c>
      <c r="AB2446" s="1" t="s">
        <v>204</v>
      </c>
      <c r="AC2446" s="5">
        <v>44285</v>
      </c>
      <c r="AF2446" s="1">
        <v>10029</v>
      </c>
      <c r="AI2446" s="1" t="s">
        <v>52</v>
      </c>
      <c r="AJ2446" s="1">
        <v>2019</v>
      </c>
      <c r="AK2446" s="1" t="s">
        <v>55</v>
      </c>
      <c r="AL2446" s="1">
        <v>72</v>
      </c>
    </row>
    <row r="2447" spans="1:38" x14ac:dyDescent="0.2">
      <c r="A2447" s="2" t="str">
        <f>HYPERLINK("https://www.compass.com/listing/1399-park-avenue-unit-8d-manhattan-ny-10029/29515041178938769/","1399 Park Ave, Unit 8D")</f>
        <v>1399 Park Ave, Unit 8D</v>
      </c>
      <c r="B2447" s="2" t="str">
        <f t="shared" si="390"/>
        <v>1399 Park</v>
      </c>
      <c r="C2447" s="1" t="s">
        <v>82</v>
      </c>
      <c r="D2447" s="1" t="s">
        <v>41</v>
      </c>
      <c r="E2447" s="3">
        <v>1720000</v>
      </c>
      <c r="F2447" s="1">
        <v>1191.96119196119</v>
      </c>
      <c r="G2447" s="1">
        <v>5</v>
      </c>
      <c r="H2447" s="1">
        <v>3</v>
      </c>
      <c r="I2447" s="1">
        <v>3</v>
      </c>
      <c r="J2447" s="1">
        <v>2.5</v>
      </c>
      <c r="K2447" s="1">
        <v>2</v>
      </c>
      <c r="L2447" s="1">
        <v>1</v>
      </c>
      <c r="M2447" s="4">
        <v>1443</v>
      </c>
      <c r="N2447" s="1">
        <v>1617</v>
      </c>
      <c r="O2447" s="1">
        <v>2557</v>
      </c>
      <c r="P2447" s="1">
        <v>940</v>
      </c>
      <c r="Q2447" s="1" t="s">
        <v>42</v>
      </c>
      <c r="S2447" s="1" t="s">
        <v>42</v>
      </c>
      <c r="T2447" s="1" t="s">
        <v>203</v>
      </c>
      <c r="U2447" s="1">
        <v>101</v>
      </c>
      <c r="V2447" s="5">
        <v>43629</v>
      </c>
      <c r="W2447" s="5">
        <v>42702</v>
      </c>
      <c r="X2447" s="1">
        <v>1720000</v>
      </c>
      <c r="Y2447" s="1">
        <v>1720000</v>
      </c>
      <c r="Z2447" s="5">
        <v>42804</v>
      </c>
      <c r="AA2447" s="1">
        <v>1720000</v>
      </c>
      <c r="AB2447" s="1" t="s">
        <v>1866</v>
      </c>
      <c r="AC2447" s="5">
        <v>43614</v>
      </c>
      <c r="AF2447" s="1">
        <v>10029</v>
      </c>
      <c r="AI2447" s="1" t="s">
        <v>52</v>
      </c>
      <c r="AJ2447" s="1">
        <v>2019</v>
      </c>
      <c r="AK2447" s="1" t="s">
        <v>87</v>
      </c>
      <c r="AL2447" s="1">
        <v>72</v>
      </c>
    </row>
    <row r="2448" spans="1:38" x14ac:dyDescent="0.2">
      <c r="A2448" s="2" t="str">
        <f>HYPERLINK("https://www.compass.com/listing/1399-park-avenue-unit-12d-manhattan-ny-10029/29515040138751313/","1399 Park Ave, Unit 12D")</f>
        <v>1399 Park Ave, Unit 12D</v>
      </c>
      <c r="B2448" s="2" t="str">
        <f t="shared" si="390"/>
        <v>1399 Park</v>
      </c>
      <c r="C2448" s="1" t="s">
        <v>82</v>
      </c>
      <c r="D2448" s="1" t="s">
        <v>41</v>
      </c>
      <c r="E2448" s="3">
        <v>2443800</v>
      </c>
      <c r="F2448" s="1">
        <v>1660.1902173912999</v>
      </c>
      <c r="G2448" s="1">
        <v>5</v>
      </c>
      <c r="H2448" s="1">
        <v>3</v>
      </c>
      <c r="I2448" s="1">
        <v>3</v>
      </c>
      <c r="J2448" s="1">
        <v>2.5</v>
      </c>
      <c r="K2448" s="1">
        <v>2</v>
      </c>
      <c r="L2448" s="1">
        <v>1</v>
      </c>
      <c r="M2448" s="4">
        <v>1472</v>
      </c>
      <c r="N2448" s="1">
        <v>1902</v>
      </c>
      <c r="O2448" s="1">
        <v>2969</v>
      </c>
      <c r="P2448" s="1">
        <v>1067</v>
      </c>
      <c r="Q2448" s="1" t="s">
        <v>42</v>
      </c>
      <c r="S2448" s="1" t="s">
        <v>42</v>
      </c>
      <c r="T2448" s="1" t="s">
        <v>203</v>
      </c>
      <c r="U2448" s="1">
        <v>67</v>
      </c>
      <c r="V2448" s="5">
        <v>43724</v>
      </c>
      <c r="W2448" s="5">
        <v>42763</v>
      </c>
      <c r="X2448" s="1">
        <v>2400000</v>
      </c>
      <c r="Y2448" s="1">
        <v>2400000</v>
      </c>
      <c r="Z2448" s="5">
        <v>42948</v>
      </c>
      <c r="AA2448" s="1">
        <v>2443800</v>
      </c>
      <c r="AB2448" s="1" t="s">
        <v>1867</v>
      </c>
      <c r="AC2448" s="5">
        <v>43713</v>
      </c>
      <c r="AF2448" s="1">
        <v>10029</v>
      </c>
      <c r="AI2448" s="1" t="s">
        <v>163</v>
      </c>
      <c r="AJ2448" s="1">
        <v>2019</v>
      </c>
      <c r="AK2448" s="1" t="s">
        <v>87</v>
      </c>
      <c r="AL2448" s="1">
        <v>72</v>
      </c>
    </row>
    <row r="2449" spans="1:38" x14ac:dyDescent="0.2">
      <c r="A2449" s="2" t="str">
        <f>HYPERLINK("https://www.compass.com/listing/1399-park-avenue-unit-6d-manhattan-ny-10029/29515035197929105/","1399 Park Ave, Unit 6D")</f>
        <v>1399 Park Ave, Unit 6D</v>
      </c>
      <c r="B2449" s="2" t="str">
        <f t="shared" si="390"/>
        <v>1399 Park</v>
      </c>
      <c r="C2449" s="1" t="s">
        <v>82</v>
      </c>
      <c r="D2449" s="1" t="s">
        <v>41</v>
      </c>
      <c r="E2449" s="3">
        <v>1650000</v>
      </c>
      <c r="F2449" s="1">
        <v>1143.4511434511401</v>
      </c>
      <c r="G2449" s="1">
        <v>5</v>
      </c>
      <c r="H2449" s="1">
        <v>3</v>
      </c>
      <c r="I2449" s="1">
        <v>3</v>
      </c>
      <c r="J2449" s="1">
        <v>2.5</v>
      </c>
      <c r="K2449" s="1">
        <v>2</v>
      </c>
      <c r="L2449" s="1">
        <v>1</v>
      </c>
      <c r="M2449" s="4">
        <v>1443</v>
      </c>
      <c r="N2449" s="1">
        <v>1676</v>
      </c>
      <c r="O2449" s="1">
        <v>2615</v>
      </c>
      <c r="P2449" s="1">
        <v>939</v>
      </c>
      <c r="Q2449" s="1" t="s">
        <v>42</v>
      </c>
      <c r="S2449" s="1" t="s">
        <v>42</v>
      </c>
      <c r="T2449" s="1" t="s">
        <v>203</v>
      </c>
      <c r="U2449" s="1">
        <v>57</v>
      </c>
      <c r="V2449" s="5">
        <v>43874</v>
      </c>
      <c r="W2449" s="5">
        <v>43031</v>
      </c>
      <c r="X2449" s="1">
        <v>1700000</v>
      </c>
      <c r="Y2449" s="1">
        <v>1700000</v>
      </c>
      <c r="Z2449" s="5">
        <v>43089</v>
      </c>
      <c r="AA2449" s="1">
        <v>1650000</v>
      </c>
      <c r="AB2449" s="1" t="s">
        <v>1858</v>
      </c>
      <c r="AC2449" s="5">
        <v>43623</v>
      </c>
      <c r="AF2449" s="1">
        <v>10029</v>
      </c>
      <c r="AI2449" s="1" t="s">
        <v>52</v>
      </c>
      <c r="AJ2449" s="1">
        <v>2019</v>
      </c>
      <c r="AK2449" s="1" t="s">
        <v>55</v>
      </c>
      <c r="AL2449" s="1">
        <v>72</v>
      </c>
    </row>
    <row r="2450" spans="1:38" x14ac:dyDescent="0.2">
      <c r="A2450" s="2" t="str">
        <f>HYPERLINK("https://www.compass.com/listing/1399-park-avenue-unit-9d-manhattan-ny-10029/803302751475875801/","1399 Park Ave, Unit 9D")</f>
        <v>1399 Park Ave, Unit 9D</v>
      </c>
      <c r="B2450" s="2" t="str">
        <f t="shared" si="390"/>
        <v>1399 Park</v>
      </c>
      <c r="C2450" s="1" t="s">
        <v>82</v>
      </c>
      <c r="D2450" s="1" t="s">
        <v>41</v>
      </c>
      <c r="E2450" s="3">
        <v>1700000</v>
      </c>
      <c r="F2450" s="1">
        <v>1178.10117810117</v>
      </c>
      <c r="G2450" s="1">
        <v>6.5</v>
      </c>
      <c r="H2450" s="1">
        <v>3</v>
      </c>
      <c r="I2450" s="1">
        <v>3</v>
      </c>
      <c r="J2450" s="1">
        <v>2.5</v>
      </c>
      <c r="K2450" s="1">
        <v>2</v>
      </c>
      <c r="L2450" s="1">
        <v>1</v>
      </c>
      <c r="M2450" s="4">
        <v>1443</v>
      </c>
      <c r="N2450" s="1">
        <v>1676</v>
      </c>
      <c r="O2450" s="1">
        <v>2718</v>
      </c>
      <c r="P2450" s="1">
        <v>1042</v>
      </c>
      <c r="Q2450" s="1" t="s">
        <v>42</v>
      </c>
      <c r="S2450" s="1" t="s">
        <v>42</v>
      </c>
      <c r="T2450" s="1" t="s">
        <v>203</v>
      </c>
      <c r="U2450" s="1">
        <v>26</v>
      </c>
      <c r="V2450" s="5">
        <v>43964</v>
      </c>
      <c r="W2450" s="5">
        <v>43774</v>
      </c>
      <c r="X2450" s="1">
        <v>1695000</v>
      </c>
      <c r="Y2450" s="1">
        <v>1750000</v>
      </c>
      <c r="Z2450" s="5">
        <v>43845</v>
      </c>
      <c r="AA2450" s="1">
        <v>1700000</v>
      </c>
      <c r="AB2450" s="1" t="s">
        <v>1868</v>
      </c>
      <c r="AC2450" s="5">
        <v>43952</v>
      </c>
      <c r="AF2450" s="1">
        <v>10029</v>
      </c>
      <c r="AI2450" s="1" t="s">
        <v>52</v>
      </c>
      <c r="AJ2450" s="1">
        <v>2019</v>
      </c>
      <c r="AK2450" s="1" t="s">
        <v>87</v>
      </c>
      <c r="AL2450" s="1">
        <v>72</v>
      </c>
    </row>
    <row r="2451" spans="1:38" x14ac:dyDescent="0.2">
      <c r="A2451" s="2" t="str">
        <f>HYPERLINK("https://www.compass.com/listing/1399-park-avenue-unit-14d-manhattan-ny-10029/378905327173664081/","1399 Park Ave, Unit 14D")</f>
        <v>1399 Park Ave, Unit 14D</v>
      </c>
      <c r="B2451" s="2" t="str">
        <f t="shared" si="390"/>
        <v>1399 Park</v>
      </c>
      <c r="C2451" s="1" t="s">
        <v>82</v>
      </c>
      <c r="D2451" s="1" t="s">
        <v>41</v>
      </c>
      <c r="E2451" s="3">
        <v>1629200</v>
      </c>
      <c r="F2451" s="1">
        <v>997.67299448867095</v>
      </c>
      <c r="G2451" s="1">
        <v>5</v>
      </c>
      <c r="H2451" s="1">
        <v>3</v>
      </c>
      <c r="I2451" s="1">
        <v>3</v>
      </c>
      <c r="J2451" s="1">
        <v>2.5</v>
      </c>
      <c r="K2451" s="1">
        <v>2</v>
      </c>
      <c r="L2451" s="1">
        <v>1</v>
      </c>
      <c r="M2451" s="4">
        <v>1633</v>
      </c>
      <c r="N2451" s="1">
        <v>1896</v>
      </c>
      <c r="O2451" s="1">
        <v>3741</v>
      </c>
      <c r="P2451" s="1">
        <v>1845</v>
      </c>
      <c r="Q2451" s="1" t="s">
        <v>42</v>
      </c>
      <c r="S2451" s="1" t="s">
        <v>42</v>
      </c>
      <c r="T2451" s="1" t="s">
        <v>203</v>
      </c>
      <c r="U2451" s="1">
        <v>493</v>
      </c>
      <c r="V2451" s="5">
        <v>44387</v>
      </c>
      <c r="W2451" s="5">
        <v>43774</v>
      </c>
      <c r="X2451" s="1">
        <v>1995000</v>
      </c>
      <c r="Y2451" s="1">
        <v>1715000</v>
      </c>
      <c r="Z2451" s="5">
        <v>44369</v>
      </c>
      <c r="AA2451" s="1">
        <v>1629200</v>
      </c>
      <c r="AB2451" s="1" t="s">
        <v>1869</v>
      </c>
      <c r="AC2451" s="5">
        <v>44362</v>
      </c>
      <c r="AF2451" s="1">
        <v>10029</v>
      </c>
      <c r="AI2451" s="1" t="s">
        <v>52</v>
      </c>
      <c r="AJ2451" s="1">
        <v>2019</v>
      </c>
      <c r="AK2451" s="1" t="s">
        <v>87</v>
      </c>
      <c r="AL2451" s="1">
        <v>72</v>
      </c>
    </row>
    <row r="2452" spans="1:38" x14ac:dyDescent="0.2">
      <c r="A2452" s="2" t="str">
        <f>HYPERLINK("https://www.compass.com/listing/1399-park-avenue-unit-18a-manhattan-ny-10029/574006058925089041/","1399 Park Ave, Unit 18A")</f>
        <v>1399 Park Ave, Unit 18A</v>
      </c>
      <c r="B2452" s="2" t="str">
        <f t="shared" si="390"/>
        <v>1399 Park</v>
      </c>
      <c r="C2452" s="1" t="s">
        <v>82</v>
      </c>
      <c r="D2452" s="1" t="s">
        <v>41</v>
      </c>
      <c r="E2452" s="3">
        <v>1934675</v>
      </c>
      <c r="F2452" s="1">
        <v>958.70911793855305</v>
      </c>
      <c r="G2452" s="1">
        <v>5</v>
      </c>
      <c r="H2452" s="1">
        <v>3</v>
      </c>
      <c r="I2452" s="1">
        <v>3</v>
      </c>
      <c r="J2452" s="1">
        <v>3</v>
      </c>
      <c r="K2452" s="1">
        <v>3</v>
      </c>
      <c r="M2452" s="4">
        <v>2018</v>
      </c>
      <c r="N2452" s="1">
        <v>2343</v>
      </c>
      <c r="O2452" s="1">
        <v>4624</v>
      </c>
      <c r="P2452" s="1">
        <v>2281</v>
      </c>
      <c r="Q2452" s="1" t="s">
        <v>42</v>
      </c>
      <c r="S2452" s="1" t="s">
        <v>42</v>
      </c>
      <c r="T2452" s="1" t="s">
        <v>203</v>
      </c>
      <c r="U2452" s="1">
        <v>318</v>
      </c>
      <c r="V2452" s="5">
        <v>44392</v>
      </c>
      <c r="W2452" s="5">
        <v>44043</v>
      </c>
      <c r="X2452" s="1">
        <v>2695000</v>
      </c>
      <c r="Y2452" s="1">
        <v>2695000</v>
      </c>
      <c r="AA2452" s="1">
        <v>1934675</v>
      </c>
      <c r="AB2452" s="1" t="s">
        <v>1870</v>
      </c>
      <c r="AC2452" s="5">
        <v>44361</v>
      </c>
      <c r="AF2452" s="1">
        <v>10029</v>
      </c>
      <c r="AI2452" s="1" t="s">
        <v>52</v>
      </c>
      <c r="AJ2452" s="1">
        <v>2019</v>
      </c>
      <c r="AK2452" s="1" t="s">
        <v>87</v>
      </c>
      <c r="AL2452" s="1">
        <v>72</v>
      </c>
    </row>
    <row r="2453" spans="1:38" x14ac:dyDescent="0.2">
      <c r="A2453" s="2" t="str">
        <f>HYPERLINK("https://www.compass.com/listing/1399-park-avenue-unit-20-21a-manhattan-ny-10029/29515034250016369/","1399 Park Ave, Unit 20/21A")</f>
        <v>1399 Park Ave, Unit 20/21A</v>
      </c>
      <c r="B2453" s="2" t="str">
        <f t="shared" si="390"/>
        <v>1399 Park</v>
      </c>
      <c r="C2453" s="1" t="s">
        <v>82</v>
      </c>
      <c r="D2453" s="1" t="s">
        <v>41</v>
      </c>
      <c r="E2453" s="3">
        <v>3600000</v>
      </c>
      <c r="F2453" s="1">
        <v>1376.6730401529601</v>
      </c>
      <c r="G2453" s="1">
        <v>5.5</v>
      </c>
      <c r="H2453" s="1">
        <v>3</v>
      </c>
      <c r="I2453" s="1">
        <v>3</v>
      </c>
      <c r="J2453" s="1">
        <v>2.5</v>
      </c>
      <c r="K2453" s="1">
        <v>2</v>
      </c>
      <c r="L2453" s="1">
        <v>1</v>
      </c>
      <c r="M2453" s="4">
        <v>2615</v>
      </c>
      <c r="N2453" s="1">
        <v>3254</v>
      </c>
      <c r="O2453" s="1">
        <v>5078.3599999999997</v>
      </c>
      <c r="P2453" s="1">
        <v>1824.3333333333301</v>
      </c>
      <c r="Q2453" s="1" t="s">
        <v>42</v>
      </c>
      <c r="S2453" s="1" t="s">
        <v>42</v>
      </c>
      <c r="T2453" s="1" t="s">
        <v>203</v>
      </c>
      <c r="V2453" s="5">
        <v>43700</v>
      </c>
      <c r="W2453" s="5">
        <v>42817</v>
      </c>
      <c r="X2453" s="1">
        <v>3600000</v>
      </c>
      <c r="Y2453" s="1">
        <v>3600000</v>
      </c>
      <c r="Z2453" s="5">
        <v>42818</v>
      </c>
      <c r="AA2453" s="1">
        <v>3600000</v>
      </c>
      <c r="AB2453" s="1" t="s">
        <v>1871</v>
      </c>
      <c r="AC2453" s="5">
        <v>43682</v>
      </c>
      <c r="AF2453" s="1">
        <v>10029</v>
      </c>
      <c r="AI2453" s="1" t="s">
        <v>123</v>
      </c>
      <c r="AJ2453" s="1">
        <v>2019</v>
      </c>
      <c r="AK2453" s="1" t="s">
        <v>87</v>
      </c>
      <c r="AL2453" s="1">
        <v>72</v>
      </c>
    </row>
    <row r="2454" spans="1:38" x14ac:dyDescent="0.2">
      <c r="A2454" s="2" t="str">
        <f>HYPERLINK("https://www.compass.com/listing/264-water-street-unit-2c-manhattan-ny-10038/803377183426422897/","264 Water St, Unit 2C")</f>
        <v>264 Water St, Unit 2C</v>
      </c>
      <c r="B2454" s="2" t="str">
        <f t="shared" ref="B2454:B2493" si="391">HYPERLINK("https://www.compass.com/building/264-water-st-manhattan-ny-10038/820452910768211061/","264 Water St")</f>
        <v>264 Water St</v>
      </c>
      <c r="C2454" s="1" t="s">
        <v>155</v>
      </c>
      <c r="D2454" s="1" t="s">
        <v>41</v>
      </c>
      <c r="E2454" s="3">
        <v>1155714</v>
      </c>
      <c r="F2454" s="1">
        <v>952.77308326463299</v>
      </c>
      <c r="G2454" s="1">
        <v>4</v>
      </c>
      <c r="H2454" s="1" t="s">
        <v>77</v>
      </c>
      <c r="I2454" s="1">
        <v>2</v>
      </c>
      <c r="J2454" s="1">
        <v>2</v>
      </c>
      <c r="K2454" s="1">
        <v>2</v>
      </c>
      <c r="M2454" s="4">
        <v>1213</v>
      </c>
      <c r="N2454" s="1">
        <v>570.23</v>
      </c>
      <c r="O2454" s="1">
        <v>1383.87</v>
      </c>
      <c r="P2454" s="1">
        <v>813.66666666666595</v>
      </c>
      <c r="Q2454" s="1" t="s">
        <v>42</v>
      </c>
      <c r="S2454" s="1" t="s">
        <v>42</v>
      </c>
      <c r="T2454" s="1" t="s">
        <v>203</v>
      </c>
      <c r="U2454" s="1">
        <v>66</v>
      </c>
      <c r="V2454" s="5">
        <v>42164</v>
      </c>
      <c r="W2454" s="5">
        <v>42034</v>
      </c>
      <c r="X2454" s="1">
        <v>1160000</v>
      </c>
      <c r="Y2454" s="1">
        <v>1160000</v>
      </c>
      <c r="Z2454" s="5">
        <v>42101</v>
      </c>
      <c r="AA2454" s="1">
        <v>1155713.75</v>
      </c>
      <c r="AB2454" s="1" t="s">
        <v>1872</v>
      </c>
      <c r="AC2454" s="5">
        <v>42159</v>
      </c>
      <c r="AF2454" s="1">
        <v>10038</v>
      </c>
      <c r="AJ2454" s="1">
        <v>1900</v>
      </c>
      <c r="AL2454" s="1">
        <v>27</v>
      </c>
    </row>
    <row r="2455" spans="1:38" x14ac:dyDescent="0.2">
      <c r="A2455" s="2" t="str">
        <f>HYPERLINK("https://www.compass.com/listing/264-water-street-unit-2c-manhattan-ny-10038/212935340716035489/","264 Water St, Unit 2C")</f>
        <v>264 Water St, Unit 2C</v>
      </c>
      <c r="B2455" s="2" t="str">
        <f t="shared" si="391"/>
        <v>264 Water St</v>
      </c>
      <c r="C2455" s="1" t="s">
        <v>155</v>
      </c>
      <c r="D2455" s="1" t="s">
        <v>41</v>
      </c>
      <c r="E2455" s="3">
        <v>1155714</v>
      </c>
      <c r="F2455" s="1">
        <v>952.77328936520996</v>
      </c>
      <c r="G2455" s="1">
        <v>4</v>
      </c>
      <c r="H2455" s="1" t="s">
        <v>77</v>
      </c>
      <c r="I2455" s="1">
        <v>2</v>
      </c>
      <c r="J2455" s="1">
        <v>2</v>
      </c>
      <c r="M2455" s="4">
        <v>1213</v>
      </c>
      <c r="N2455" s="1">
        <v>570</v>
      </c>
      <c r="O2455" s="1">
        <v>1384</v>
      </c>
      <c r="P2455" s="1">
        <v>814</v>
      </c>
      <c r="Q2455" s="1" t="s">
        <v>42</v>
      </c>
      <c r="S2455" s="1" t="s">
        <v>42</v>
      </c>
      <c r="T2455" s="1" t="s">
        <v>203</v>
      </c>
      <c r="U2455" s="1">
        <v>30</v>
      </c>
      <c r="V2455" s="5">
        <v>43654</v>
      </c>
      <c r="W2455" s="5">
        <v>42071</v>
      </c>
      <c r="X2455" s="1">
        <v>1160000</v>
      </c>
      <c r="Y2455" s="1">
        <v>1160000</v>
      </c>
      <c r="Z2455" s="5">
        <v>42101</v>
      </c>
      <c r="AA2455" s="1">
        <v>1155714</v>
      </c>
      <c r="AB2455" s="1" t="s">
        <v>1872</v>
      </c>
      <c r="AC2455" s="5">
        <v>42160</v>
      </c>
      <c r="AF2455" s="1">
        <v>10038</v>
      </c>
      <c r="AJ2455" s="1">
        <v>1900</v>
      </c>
      <c r="AL2455" s="1">
        <v>27</v>
      </c>
    </row>
    <row r="2456" spans="1:38" x14ac:dyDescent="0.2">
      <c r="A2456" s="2" t="str">
        <f>HYPERLINK("https://www.compass.com/listing/264-water-street-unit-4d-manhattan-ny-10038/212935336018413105/","264 Water St, Unit 4D")</f>
        <v>264 Water St, Unit 4D</v>
      </c>
      <c r="B2456" s="2" t="str">
        <f t="shared" si="391"/>
        <v>264 Water St</v>
      </c>
      <c r="C2456" s="1" t="s">
        <v>155</v>
      </c>
      <c r="D2456" s="1" t="s">
        <v>41</v>
      </c>
      <c r="E2456" s="3">
        <v>1074254</v>
      </c>
      <c r="F2456" s="1">
        <v>964.32136445242304</v>
      </c>
      <c r="G2456" s="1">
        <v>4</v>
      </c>
      <c r="H2456" s="1">
        <v>2</v>
      </c>
      <c r="I2456" s="1">
        <v>2</v>
      </c>
      <c r="J2456" s="1">
        <v>1.5</v>
      </c>
      <c r="M2456" s="4">
        <v>1114</v>
      </c>
      <c r="N2456" s="1">
        <v>561</v>
      </c>
      <c r="O2456" s="1">
        <v>1361</v>
      </c>
      <c r="P2456" s="1">
        <v>800</v>
      </c>
      <c r="Q2456" s="1" t="s">
        <v>42</v>
      </c>
      <c r="S2456" s="1" t="s">
        <v>42</v>
      </c>
      <c r="T2456" s="1" t="s">
        <v>203</v>
      </c>
      <c r="U2456" s="1">
        <v>9</v>
      </c>
      <c r="V2456" s="5">
        <v>43668</v>
      </c>
      <c r="W2456" s="5">
        <v>42073</v>
      </c>
      <c r="X2456" s="1">
        <v>1070000</v>
      </c>
      <c r="Y2456" s="1">
        <v>1070000</v>
      </c>
      <c r="Z2456" s="5">
        <v>42082</v>
      </c>
      <c r="AA2456" s="1">
        <v>1074254</v>
      </c>
      <c r="AB2456" s="1" t="s">
        <v>1873</v>
      </c>
      <c r="AC2456" s="5">
        <v>42144</v>
      </c>
      <c r="AF2456" s="1">
        <v>10038</v>
      </c>
      <c r="AJ2456" s="1">
        <v>1900</v>
      </c>
      <c r="AL2456" s="1">
        <v>27</v>
      </c>
    </row>
    <row r="2457" spans="1:38" x14ac:dyDescent="0.2">
      <c r="A2457" s="2" t="str">
        <f>HYPERLINK("https://www.compass.com/listing/264-water-street-unit-2d-manhattan-ny-10038/212936783321688065/","264 Water St, Unit 2D")</f>
        <v>264 Water St, Unit 2D</v>
      </c>
      <c r="B2457" s="2" t="str">
        <f t="shared" si="391"/>
        <v>264 Water St</v>
      </c>
      <c r="C2457" s="1" t="s">
        <v>155</v>
      </c>
      <c r="D2457" s="1" t="s">
        <v>41</v>
      </c>
      <c r="E2457" s="3">
        <v>1069163</v>
      </c>
      <c r="F2457" s="1">
        <v>959.75134649910206</v>
      </c>
      <c r="G2457" s="1">
        <v>4</v>
      </c>
      <c r="H2457" s="1">
        <v>2</v>
      </c>
      <c r="I2457" s="1">
        <v>2</v>
      </c>
      <c r="J2457" s="1">
        <v>1.5</v>
      </c>
      <c r="M2457" s="4">
        <v>1114</v>
      </c>
      <c r="N2457" s="1">
        <v>511</v>
      </c>
      <c r="O2457" s="1">
        <v>1428</v>
      </c>
      <c r="P2457" s="1">
        <v>917</v>
      </c>
      <c r="Q2457" s="1" t="s">
        <v>42</v>
      </c>
      <c r="S2457" s="1" t="s">
        <v>42</v>
      </c>
      <c r="T2457" s="1" t="s">
        <v>203</v>
      </c>
      <c r="U2457" s="1">
        <v>75</v>
      </c>
      <c r="V2457" s="5">
        <v>43654</v>
      </c>
      <c r="W2457" s="5">
        <v>42214</v>
      </c>
      <c r="X2457" s="1">
        <v>1050000</v>
      </c>
      <c r="Y2457" s="1">
        <v>1050000</v>
      </c>
      <c r="AA2457" s="1">
        <v>1069163</v>
      </c>
      <c r="AB2457" s="1" t="s">
        <v>1874</v>
      </c>
      <c r="AC2457" s="5">
        <v>42290</v>
      </c>
      <c r="AF2457" s="1">
        <v>10038</v>
      </c>
      <c r="AJ2457" s="1">
        <v>1900</v>
      </c>
      <c r="AL2457" s="1">
        <v>27</v>
      </c>
    </row>
    <row r="2458" spans="1:38" x14ac:dyDescent="0.2">
      <c r="A2458" s="2" t="str">
        <f>HYPERLINK("https://www.compass.com/listing/264-water-street-unit-2d-manhattan-ny-10038/803311181548983769/","264 Water St, Unit 2D")</f>
        <v>264 Water St, Unit 2D</v>
      </c>
      <c r="B2458" s="2" t="str">
        <f t="shared" si="391"/>
        <v>264 Water St</v>
      </c>
      <c r="C2458" s="1" t="s">
        <v>155</v>
      </c>
      <c r="D2458" s="1" t="s">
        <v>41</v>
      </c>
      <c r="E2458" s="3">
        <v>1069163</v>
      </c>
      <c r="F2458" s="1">
        <v>959.750897666068</v>
      </c>
      <c r="G2458" s="1">
        <v>4</v>
      </c>
      <c r="H2458" s="1">
        <v>2</v>
      </c>
      <c r="I2458" s="1">
        <v>2</v>
      </c>
      <c r="J2458" s="1">
        <v>1</v>
      </c>
      <c r="K2458" s="1">
        <v>1</v>
      </c>
      <c r="M2458" s="4">
        <v>1114</v>
      </c>
      <c r="N2458" s="1">
        <v>511.04</v>
      </c>
      <c r="O2458" s="1">
        <v>1428.2</v>
      </c>
      <c r="P2458" s="1">
        <v>917.16666666666595</v>
      </c>
      <c r="Q2458" s="1" t="s">
        <v>42</v>
      </c>
      <c r="S2458" s="1" t="s">
        <v>42</v>
      </c>
      <c r="T2458" s="1" t="s">
        <v>203</v>
      </c>
      <c r="U2458" s="1">
        <v>64</v>
      </c>
      <c r="V2458" s="5">
        <v>42348</v>
      </c>
      <c r="W2458" s="5">
        <v>42191</v>
      </c>
      <c r="X2458" s="1">
        <v>1050000</v>
      </c>
      <c r="Y2458" s="1">
        <v>1069162</v>
      </c>
      <c r="Z2458" s="5">
        <v>42256</v>
      </c>
      <c r="AA2458" s="1">
        <v>1069162.5</v>
      </c>
      <c r="AB2458" s="1" t="s">
        <v>1874</v>
      </c>
      <c r="AC2458" s="5">
        <v>42289</v>
      </c>
      <c r="AF2458" s="1">
        <v>10038</v>
      </c>
      <c r="AJ2458" s="1">
        <v>1900</v>
      </c>
      <c r="AK2458" s="1" t="s">
        <v>61</v>
      </c>
      <c r="AL2458" s="1">
        <v>27</v>
      </c>
    </row>
    <row r="2459" spans="1:38" x14ac:dyDescent="0.2">
      <c r="A2459" s="2" t="str">
        <f>HYPERLINK("https://www.compass.com/listing/264-water-street-unit-4d-manhattan-ny-10038/803344119426242233/","264 Water St, Unit 4D")</f>
        <v>264 Water St, Unit 4D</v>
      </c>
      <c r="B2459" s="2" t="str">
        <f t="shared" si="391"/>
        <v>264 Water St</v>
      </c>
      <c r="C2459" s="1" t="s">
        <v>155</v>
      </c>
      <c r="D2459" s="1" t="s">
        <v>41</v>
      </c>
      <c r="E2459" s="3">
        <v>1074254</v>
      </c>
      <c r="F2459" s="1">
        <v>964.32114003590596</v>
      </c>
      <c r="G2459" s="1">
        <v>4</v>
      </c>
      <c r="H2459" s="1">
        <v>2</v>
      </c>
      <c r="I2459" s="1">
        <v>2</v>
      </c>
      <c r="J2459" s="1">
        <v>1</v>
      </c>
      <c r="K2459" s="1">
        <v>1</v>
      </c>
      <c r="M2459" s="4">
        <v>1114</v>
      </c>
      <c r="N2459" s="1">
        <v>560.88</v>
      </c>
      <c r="O2459" s="1">
        <v>1361.1</v>
      </c>
      <c r="P2459" s="1">
        <v>800.25</v>
      </c>
      <c r="Q2459" s="1" t="s">
        <v>42</v>
      </c>
      <c r="S2459" s="1" t="s">
        <v>42</v>
      </c>
      <c r="T2459" s="1" t="s">
        <v>203</v>
      </c>
      <c r="U2459" s="1">
        <v>29</v>
      </c>
      <c r="V2459" s="5">
        <v>42146</v>
      </c>
      <c r="W2459" s="5">
        <v>42058</v>
      </c>
      <c r="X2459" s="1">
        <v>1070000</v>
      </c>
      <c r="Y2459" s="1">
        <v>1070000</v>
      </c>
      <c r="Z2459" s="5">
        <v>42087</v>
      </c>
      <c r="AA2459" s="1">
        <v>1074253.75</v>
      </c>
      <c r="AB2459" s="1" t="s">
        <v>1873</v>
      </c>
      <c r="AC2459" s="5">
        <v>42143</v>
      </c>
      <c r="AF2459" s="1">
        <v>10038</v>
      </c>
      <c r="AJ2459" s="1">
        <v>1900</v>
      </c>
      <c r="AK2459" s="1" t="s">
        <v>880</v>
      </c>
      <c r="AL2459" s="1">
        <v>27</v>
      </c>
    </row>
    <row r="2460" spans="1:38" x14ac:dyDescent="0.2">
      <c r="A2460" s="2" t="str">
        <f>HYPERLINK("https://www.compass.com/listing/264-water-street-unit-3a-manhattan-ny-10038/29357479179588225/","264 Water St, Unit 3A")</f>
        <v>264 Water St, Unit 3A</v>
      </c>
      <c r="B2460" s="2" t="str">
        <f t="shared" si="391"/>
        <v>264 Water St</v>
      </c>
      <c r="C2460" s="1" t="s">
        <v>155</v>
      </c>
      <c r="D2460" s="1" t="s">
        <v>41</v>
      </c>
      <c r="E2460" s="3">
        <v>1272813</v>
      </c>
      <c r="F2460" s="1">
        <v>966.44836750189802</v>
      </c>
      <c r="H2460" s="1">
        <v>2</v>
      </c>
      <c r="J2460" s="1">
        <v>2</v>
      </c>
      <c r="K2460" s="1">
        <v>2</v>
      </c>
      <c r="M2460" s="4">
        <v>1317</v>
      </c>
      <c r="N2460" s="1">
        <v>1179</v>
      </c>
      <c r="O2460" s="1">
        <v>2731.25</v>
      </c>
      <c r="P2460" s="1">
        <v>1552.25</v>
      </c>
      <c r="Q2460" s="1" t="s">
        <v>42</v>
      </c>
      <c r="S2460" s="1" t="s">
        <v>42</v>
      </c>
      <c r="T2460" s="1" t="s">
        <v>203</v>
      </c>
      <c r="AA2460" s="1">
        <v>1272812.5</v>
      </c>
      <c r="AB2460" s="1" t="s">
        <v>1875</v>
      </c>
      <c r="AC2460" s="5">
        <v>41942</v>
      </c>
      <c r="AF2460" s="1">
        <v>10038</v>
      </c>
      <c r="AJ2460" s="1">
        <v>1900</v>
      </c>
      <c r="AL2460" s="1">
        <v>27</v>
      </c>
    </row>
    <row r="2461" spans="1:38" x14ac:dyDescent="0.2">
      <c r="A2461" s="2" t="str">
        <f>HYPERLINK("https://www.compass.com/listing/264-water-street-unit-5a-manhattan-ny-10038/29357483407541649/","264 Water St, Unit 5A")</f>
        <v>264 Water St, Unit 5A</v>
      </c>
      <c r="B2461" s="2" t="str">
        <f t="shared" si="391"/>
        <v>264 Water St</v>
      </c>
      <c r="C2461" s="1" t="s">
        <v>155</v>
      </c>
      <c r="D2461" s="1" t="s">
        <v>41</v>
      </c>
      <c r="E2461" s="3">
        <v>1242265</v>
      </c>
      <c r="F2461" s="1">
        <v>943.25360668185203</v>
      </c>
      <c r="H2461" s="1">
        <v>2</v>
      </c>
      <c r="J2461" s="1">
        <v>2</v>
      </c>
      <c r="K2461" s="1">
        <v>2</v>
      </c>
      <c r="M2461" s="4">
        <v>1317</v>
      </c>
      <c r="N2461" s="1">
        <v>952</v>
      </c>
      <c r="O2461" s="1">
        <v>2340</v>
      </c>
      <c r="P2461" s="1">
        <v>1388</v>
      </c>
      <c r="Q2461" s="1" t="s">
        <v>42</v>
      </c>
      <c r="S2461" s="1" t="s">
        <v>42</v>
      </c>
      <c r="T2461" s="1" t="s">
        <v>203</v>
      </c>
      <c r="AA2461" s="1">
        <v>1242265</v>
      </c>
      <c r="AB2461" s="1" t="s">
        <v>1876</v>
      </c>
      <c r="AC2461" s="5">
        <v>41856</v>
      </c>
      <c r="AF2461" s="1">
        <v>10038</v>
      </c>
      <c r="AJ2461" s="1">
        <v>1900</v>
      </c>
      <c r="AL2461" s="1">
        <v>27</v>
      </c>
    </row>
    <row r="2462" spans="1:38" x14ac:dyDescent="0.2">
      <c r="A2462" s="2" t="str">
        <f>HYPERLINK("https://www.compass.com/listing/264-water-street-unit-6c-manhattan-ny-10038/29357485395641825/","264 Water St, Unit 6C")</f>
        <v>264 Water St, Unit 6C</v>
      </c>
      <c r="B2462" s="2" t="str">
        <f t="shared" si="391"/>
        <v>264 Water St</v>
      </c>
      <c r="C2462" s="1" t="s">
        <v>155</v>
      </c>
      <c r="D2462" s="1" t="s">
        <v>41</v>
      </c>
      <c r="E2462" s="3">
        <v>1277904</v>
      </c>
      <c r="F2462" s="1">
        <v>1053.5068013190401</v>
      </c>
      <c r="H2462" s="1">
        <v>2</v>
      </c>
      <c r="J2462" s="1">
        <v>2</v>
      </c>
      <c r="K2462" s="1">
        <v>2</v>
      </c>
      <c r="M2462" s="4">
        <v>1213</v>
      </c>
      <c r="N2462" s="1">
        <v>983</v>
      </c>
      <c r="O2462" s="1">
        <v>2418</v>
      </c>
      <c r="P2462" s="1">
        <v>1435</v>
      </c>
      <c r="Q2462" s="1" t="s">
        <v>42</v>
      </c>
      <c r="S2462" s="1" t="s">
        <v>42</v>
      </c>
      <c r="T2462" s="1" t="s">
        <v>203</v>
      </c>
      <c r="AA2462" s="1">
        <v>1277903.75</v>
      </c>
      <c r="AB2462" s="1" t="s">
        <v>1877</v>
      </c>
      <c r="AC2462" s="5">
        <v>42009</v>
      </c>
      <c r="AF2462" s="1">
        <v>10038</v>
      </c>
      <c r="AJ2462" s="1">
        <v>1900</v>
      </c>
      <c r="AL2462" s="1">
        <v>27</v>
      </c>
    </row>
    <row r="2463" spans="1:38" x14ac:dyDescent="0.2">
      <c r="A2463" s="2" t="str">
        <f>HYPERLINK("https://www.compass.com/listing/264-water-street-unit-5b-manhattan-ny-10038/29357483751379681/","264 Water St, Unit 5B")</f>
        <v>264 Water St, Unit 5B</v>
      </c>
      <c r="B2463" s="2" t="str">
        <f t="shared" si="391"/>
        <v>264 Water St</v>
      </c>
      <c r="C2463" s="1" t="s">
        <v>155</v>
      </c>
      <c r="D2463" s="1" t="s">
        <v>41</v>
      </c>
      <c r="E2463" s="3">
        <v>1405185</v>
      </c>
      <c r="F2463" s="1">
        <v>905.40270618556701</v>
      </c>
      <c r="H2463" s="1">
        <v>2</v>
      </c>
      <c r="J2463" s="1">
        <v>2</v>
      </c>
      <c r="M2463" s="4">
        <v>1552</v>
      </c>
      <c r="N2463" s="1">
        <v>1215.74</v>
      </c>
      <c r="O2463" s="1">
        <v>2450.84</v>
      </c>
      <c r="P2463" s="1">
        <v>1235.0833333333301</v>
      </c>
      <c r="Q2463" s="1" t="s">
        <v>42</v>
      </c>
      <c r="S2463" s="1" t="s">
        <v>42</v>
      </c>
      <c r="T2463" s="1" t="s">
        <v>203</v>
      </c>
      <c r="AA2463" s="1">
        <v>1405185</v>
      </c>
      <c r="AB2463" s="1" t="s">
        <v>1878</v>
      </c>
      <c r="AC2463" s="5">
        <v>41880</v>
      </c>
      <c r="AF2463" s="1">
        <v>10038</v>
      </c>
      <c r="AJ2463" s="1">
        <v>1900</v>
      </c>
      <c r="AL2463" s="1">
        <v>27</v>
      </c>
    </row>
    <row r="2464" spans="1:38" x14ac:dyDescent="0.2">
      <c r="A2464" s="2" t="str">
        <f>HYPERLINK("https://www.compass.com/listing/264-water-street-unit-phd-manhattan-ny-10038/567341290776551073/","264 Water St, Unit PHD")</f>
        <v>264 Water St, Unit PHD</v>
      </c>
      <c r="B2464" s="2" t="str">
        <f t="shared" si="391"/>
        <v>264 Water St</v>
      </c>
      <c r="C2464" s="1" t="s">
        <v>155</v>
      </c>
      <c r="D2464" s="1" t="s">
        <v>41</v>
      </c>
      <c r="E2464" s="3">
        <v>1761573</v>
      </c>
      <c r="F2464" s="1">
        <v>1357.1436825885901</v>
      </c>
      <c r="H2464" s="1">
        <v>2</v>
      </c>
      <c r="J2464" s="1">
        <v>2.5</v>
      </c>
      <c r="M2464" s="4">
        <v>1298</v>
      </c>
      <c r="N2464" s="1">
        <v>1044</v>
      </c>
      <c r="O2464" s="1">
        <v>2362</v>
      </c>
      <c r="P2464" s="1">
        <v>1318</v>
      </c>
      <c r="Q2464" s="1" t="s">
        <v>42</v>
      </c>
      <c r="S2464" s="1" t="s">
        <v>42</v>
      </c>
      <c r="T2464" s="1" t="s">
        <v>203</v>
      </c>
      <c r="AA2464" s="1">
        <v>1761572.5</v>
      </c>
      <c r="AB2464" s="1" t="s">
        <v>1879</v>
      </c>
      <c r="AC2464" s="5">
        <v>41949</v>
      </c>
      <c r="AF2464" s="1">
        <v>10038</v>
      </c>
      <c r="AJ2464" s="1">
        <v>1900</v>
      </c>
      <c r="AL2464" s="1">
        <v>27</v>
      </c>
    </row>
    <row r="2465" spans="1:38" x14ac:dyDescent="0.2">
      <c r="A2465" s="2" t="str">
        <f>HYPERLINK("https://www.compass.com/listing/264-water-street-unit-phc-manhattan-ny-10038/730939871961645561/","264 Water St, Unit PHC")</f>
        <v>264 Water St, Unit PHC</v>
      </c>
      <c r="B2465" s="2" t="str">
        <f t="shared" si="391"/>
        <v>264 Water St</v>
      </c>
      <c r="C2465" s="1" t="s">
        <v>155</v>
      </c>
      <c r="D2465" s="1" t="s">
        <v>41</v>
      </c>
      <c r="E2465" s="3">
        <v>2253604</v>
      </c>
      <c r="F2465" s="1">
        <v>1600.57098011363</v>
      </c>
      <c r="H2465" s="1">
        <v>2</v>
      </c>
      <c r="J2465" s="1">
        <v>2</v>
      </c>
      <c r="M2465" s="4">
        <v>1408</v>
      </c>
      <c r="N2465" s="1">
        <v>979</v>
      </c>
      <c r="O2465" s="1">
        <v>3100</v>
      </c>
      <c r="P2465" s="1">
        <v>2121</v>
      </c>
      <c r="Q2465" s="1" t="s">
        <v>42</v>
      </c>
      <c r="S2465" s="1" t="s">
        <v>42</v>
      </c>
      <c r="T2465" s="1" t="s">
        <v>203</v>
      </c>
      <c r="AA2465" s="1">
        <v>2253603.94</v>
      </c>
      <c r="AB2465" s="1" t="s">
        <v>1880</v>
      </c>
      <c r="AC2465" s="5">
        <v>44232</v>
      </c>
      <c r="AF2465" s="1">
        <v>10038</v>
      </c>
      <c r="AJ2465" s="1">
        <v>1900</v>
      </c>
      <c r="AL2465" s="1">
        <v>27</v>
      </c>
    </row>
    <row r="2466" spans="1:38" x14ac:dyDescent="0.2">
      <c r="A2466" s="2" t="str">
        <f>HYPERLINK("https://www.compass.com/listing/264-water-street-unit-6d-manhattan-ny-10038/803353715113119145/","264 Water St, Unit 6D")</f>
        <v>264 Water St, Unit 6D</v>
      </c>
      <c r="B2466" s="2" t="str">
        <f t="shared" si="391"/>
        <v>264 Water St</v>
      </c>
      <c r="C2466" s="1" t="s">
        <v>155</v>
      </c>
      <c r="D2466" s="1" t="s">
        <v>41</v>
      </c>
      <c r="E2466" s="3">
        <v>1145531</v>
      </c>
      <c r="F2466" s="1">
        <v>1028.3045332136401</v>
      </c>
      <c r="G2466" s="1">
        <v>2.5</v>
      </c>
      <c r="H2466" s="1">
        <v>1</v>
      </c>
      <c r="I2466" s="1">
        <v>2</v>
      </c>
      <c r="J2466" s="1">
        <v>1</v>
      </c>
      <c r="K2466" s="1">
        <v>1</v>
      </c>
      <c r="M2466" s="4">
        <v>1114</v>
      </c>
      <c r="N2466" s="1">
        <v>682.41</v>
      </c>
      <c r="O2466" s="1">
        <v>1563.75</v>
      </c>
      <c r="P2466" s="1">
        <v>881.33333333333303</v>
      </c>
      <c r="Q2466" s="1" t="s">
        <v>42</v>
      </c>
      <c r="S2466" s="1" t="s">
        <v>42</v>
      </c>
      <c r="T2466" s="1" t="s">
        <v>203</v>
      </c>
      <c r="U2466" s="1">
        <v>189</v>
      </c>
      <c r="V2466" s="5">
        <v>42121</v>
      </c>
      <c r="W2466" s="5">
        <v>41864</v>
      </c>
      <c r="X2466" s="1">
        <v>1175000</v>
      </c>
      <c r="Y2466" s="1">
        <v>1175000</v>
      </c>
      <c r="Z2466" s="5">
        <v>42053</v>
      </c>
      <c r="AA2466" s="1">
        <v>1145531.25</v>
      </c>
      <c r="AB2466" s="1" t="s">
        <v>1881</v>
      </c>
      <c r="AC2466" s="5">
        <v>42111</v>
      </c>
      <c r="AF2466" s="1">
        <v>10038</v>
      </c>
      <c r="AJ2466" s="1">
        <v>1900</v>
      </c>
      <c r="AL2466" s="1">
        <v>27</v>
      </c>
    </row>
    <row r="2467" spans="1:38" x14ac:dyDescent="0.2">
      <c r="A2467" s="2" t="str">
        <f>HYPERLINK("https://www.compass.com/listing/264-water-street-unit-5d-manhattan-ny-10038/803427181594138233/","264 Water St, Unit 5D")</f>
        <v>264 Water St, Unit 5D</v>
      </c>
      <c r="B2467" s="2" t="str">
        <f t="shared" si="391"/>
        <v>264 Water St</v>
      </c>
      <c r="C2467" s="1" t="s">
        <v>155</v>
      </c>
      <c r="D2467" s="1" t="s">
        <v>41</v>
      </c>
      <c r="E2467" s="3">
        <v>1094619</v>
      </c>
      <c r="F2467" s="1">
        <v>982.60210951526005</v>
      </c>
      <c r="G2467" s="1">
        <v>2</v>
      </c>
      <c r="H2467" s="1">
        <v>1</v>
      </c>
      <c r="I2467" s="1">
        <v>2</v>
      </c>
      <c r="J2467" s="1">
        <v>1</v>
      </c>
      <c r="K2467" s="1">
        <v>1</v>
      </c>
      <c r="M2467" s="4">
        <v>1114</v>
      </c>
      <c r="N2467" s="1">
        <v>585.79999999999995</v>
      </c>
      <c r="O2467" s="1">
        <v>1450.6599999999901</v>
      </c>
      <c r="P2467" s="1">
        <v>864.83333333333303</v>
      </c>
      <c r="Q2467" s="1" t="s">
        <v>42</v>
      </c>
      <c r="S2467" s="1" t="s">
        <v>42</v>
      </c>
      <c r="T2467" s="1" t="s">
        <v>203</v>
      </c>
      <c r="U2467" s="1">
        <v>112</v>
      </c>
      <c r="V2467" s="5">
        <v>42074</v>
      </c>
      <c r="W2467" s="5">
        <v>41934</v>
      </c>
      <c r="X2467" s="1">
        <v>1090000</v>
      </c>
      <c r="Y2467" s="1">
        <v>1090000</v>
      </c>
      <c r="Z2467" s="5">
        <v>42047</v>
      </c>
      <c r="AA2467" s="1">
        <v>1094618.75</v>
      </c>
      <c r="AB2467" s="1" t="s">
        <v>1882</v>
      </c>
      <c r="AC2467" s="5">
        <v>42073</v>
      </c>
      <c r="AF2467" s="1">
        <v>10038</v>
      </c>
      <c r="AJ2467" s="1">
        <v>1900</v>
      </c>
      <c r="AL2467" s="1">
        <v>27</v>
      </c>
    </row>
    <row r="2468" spans="1:38" x14ac:dyDescent="0.2">
      <c r="A2468" s="2" t="str">
        <f>HYPERLINK("https://www.compass.com/listing/264-water-street-unit-2b-manhattan-ny-10038/803341249633556777/","264 Water St, Unit 2B")</f>
        <v>264 Water St, Unit 2B</v>
      </c>
      <c r="B2468" s="2" t="str">
        <f t="shared" si="391"/>
        <v>264 Water St</v>
      </c>
      <c r="C2468" s="1" t="s">
        <v>155</v>
      </c>
      <c r="D2468" s="1" t="s">
        <v>41</v>
      </c>
      <c r="E2468" s="3">
        <v>1354273</v>
      </c>
      <c r="F2468" s="1">
        <v>872.59826030927798</v>
      </c>
      <c r="G2468" s="1">
        <v>3</v>
      </c>
      <c r="H2468" s="1" t="s">
        <v>77</v>
      </c>
      <c r="I2468" s="1">
        <v>2</v>
      </c>
      <c r="J2468" s="1">
        <v>2</v>
      </c>
      <c r="K2468" s="1">
        <v>2</v>
      </c>
      <c r="M2468" s="4">
        <v>1552</v>
      </c>
      <c r="N2468" s="1">
        <v>825.75</v>
      </c>
      <c r="O2468" s="1">
        <v>1854.28</v>
      </c>
      <c r="P2468" s="1">
        <v>1028.5</v>
      </c>
      <c r="Q2468" s="1" t="s">
        <v>42</v>
      </c>
      <c r="S2468" s="1" t="s">
        <v>42</v>
      </c>
      <c r="T2468" s="1" t="s">
        <v>203</v>
      </c>
      <c r="U2468" s="1">
        <v>160</v>
      </c>
      <c r="V2468" s="5">
        <v>41921</v>
      </c>
      <c r="W2468" s="5">
        <v>41655</v>
      </c>
      <c r="X2468" s="1">
        <v>1245000</v>
      </c>
      <c r="Y2468" s="1">
        <v>1345000</v>
      </c>
      <c r="Z2468" s="5">
        <v>41816</v>
      </c>
      <c r="AA2468" s="1">
        <v>1354272.5</v>
      </c>
      <c r="AB2468" s="1" t="s">
        <v>1883</v>
      </c>
      <c r="AC2468" s="5">
        <v>41911</v>
      </c>
      <c r="AF2468" s="1">
        <v>10038</v>
      </c>
      <c r="AJ2468" s="1">
        <v>1900</v>
      </c>
      <c r="AL2468" s="1">
        <v>27</v>
      </c>
    </row>
    <row r="2469" spans="1:38" x14ac:dyDescent="0.2">
      <c r="A2469" s="2" t="str">
        <f>HYPERLINK("https://www.compass.com/listing/264-water-street-unit-6d-manhattan-ny-10038/212934978755956353/","264 Water St, Unit 6D")</f>
        <v>264 Water St, Unit 6D</v>
      </c>
      <c r="B2469" s="2" t="str">
        <f t="shared" si="391"/>
        <v>264 Water St</v>
      </c>
      <c r="C2469" s="1" t="s">
        <v>155</v>
      </c>
      <c r="D2469" s="1" t="s">
        <v>41</v>
      </c>
      <c r="E2469" s="3">
        <v>1145531</v>
      </c>
      <c r="F2469" s="1">
        <v>1028.30430879712</v>
      </c>
      <c r="G2469" s="1">
        <v>2</v>
      </c>
      <c r="H2469" s="1">
        <v>1</v>
      </c>
      <c r="I2469" s="1">
        <v>2</v>
      </c>
      <c r="J2469" s="1">
        <v>1.5</v>
      </c>
      <c r="M2469" s="4">
        <v>1114</v>
      </c>
      <c r="N2469" s="1">
        <v>682</v>
      </c>
      <c r="O2469" s="1">
        <v>1563</v>
      </c>
      <c r="P2469" s="1">
        <v>881</v>
      </c>
      <c r="Q2469" s="1" t="s">
        <v>42</v>
      </c>
      <c r="S2469" s="1" t="s">
        <v>42</v>
      </c>
      <c r="T2469" s="1" t="s">
        <v>203</v>
      </c>
      <c r="U2469" s="1">
        <v>197</v>
      </c>
      <c r="V2469" s="5">
        <v>43654</v>
      </c>
      <c r="W2469" s="5">
        <v>41865</v>
      </c>
      <c r="X2469" s="1">
        <v>1175000</v>
      </c>
      <c r="Y2469" s="1">
        <v>1175000</v>
      </c>
      <c r="Z2469" s="5">
        <v>42062</v>
      </c>
      <c r="AA2469" s="1">
        <v>1145531</v>
      </c>
      <c r="AB2469" s="1" t="s">
        <v>1881</v>
      </c>
      <c r="AC2469" s="5">
        <v>42112</v>
      </c>
      <c r="AF2469" s="1">
        <v>10038</v>
      </c>
      <c r="AJ2469" s="1">
        <v>1900</v>
      </c>
      <c r="AL2469" s="1">
        <v>27</v>
      </c>
    </row>
    <row r="2470" spans="1:38" x14ac:dyDescent="0.2">
      <c r="A2470" s="2" t="str">
        <f>HYPERLINK("https://www.compass.com/listing/264-water-street-unit-5d-manhattan-ny-10038/212935056686139649/","264 Water St, Unit 5D")</f>
        <v>264 Water St, Unit 5D</v>
      </c>
      <c r="B2470" s="2" t="str">
        <f t="shared" si="391"/>
        <v>264 Water St</v>
      </c>
      <c r="C2470" s="1" t="s">
        <v>155</v>
      </c>
      <c r="D2470" s="1" t="s">
        <v>41</v>
      </c>
      <c r="E2470" s="3">
        <v>1094619</v>
      </c>
      <c r="F2470" s="1">
        <v>982.60233393177703</v>
      </c>
      <c r="G2470" s="1">
        <v>2.5</v>
      </c>
      <c r="H2470" s="1">
        <v>1</v>
      </c>
      <c r="I2470" s="1">
        <v>2</v>
      </c>
      <c r="J2470" s="1">
        <v>1.5</v>
      </c>
      <c r="M2470" s="4">
        <v>1114</v>
      </c>
      <c r="N2470" s="1">
        <v>586</v>
      </c>
      <c r="O2470" s="1">
        <v>1451</v>
      </c>
      <c r="P2470" s="1">
        <v>865</v>
      </c>
      <c r="Q2470" s="1" t="s">
        <v>42</v>
      </c>
      <c r="S2470" s="1" t="s">
        <v>42</v>
      </c>
      <c r="T2470" s="1" t="s">
        <v>203</v>
      </c>
      <c r="U2470" s="1">
        <v>126</v>
      </c>
      <c r="V2470" s="5">
        <v>43654</v>
      </c>
      <c r="W2470" s="5">
        <v>41935</v>
      </c>
      <c r="X2470" s="1">
        <v>1090000</v>
      </c>
      <c r="Y2470" s="1">
        <v>1090000</v>
      </c>
      <c r="Z2470" s="5">
        <v>42061</v>
      </c>
      <c r="AA2470" s="1">
        <v>1094619</v>
      </c>
      <c r="AB2470" s="1" t="s">
        <v>1882</v>
      </c>
      <c r="AC2470" s="5">
        <v>42074</v>
      </c>
      <c r="AF2470" s="1">
        <v>10038</v>
      </c>
      <c r="AJ2470" s="1">
        <v>1900</v>
      </c>
      <c r="AL2470" s="1">
        <v>27</v>
      </c>
    </row>
    <row r="2471" spans="1:38" x14ac:dyDescent="0.2">
      <c r="A2471" s="2" t="str">
        <f>HYPERLINK("https://www.compass.com/listing/264-water-street-unit-3c-manhattan-ny-10038/803301164267503785/","264 Water St, Unit 3C")</f>
        <v>264 Water St, Unit 3C</v>
      </c>
      <c r="B2471" s="2" t="str">
        <f t="shared" si="391"/>
        <v>264 Water St</v>
      </c>
      <c r="C2471" s="1" t="s">
        <v>155</v>
      </c>
      <c r="D2471" s="1" t="s">
        <v>41</v>
      </c>
      <c r="E2471" s="3">
        <v>1120075</v>
      </c>
      <c r="F2471" s="1">
        <v>923.39241549876294</v>
      </c>
      <c r="G2471" s="1">
        <v>3</v>
      </c>
      <c r="H2471" s="1" t="s">
        <v>69</v>
      </c>
      <c r="I2471" s="1">
        <v>2</v>
      </c>
      <c r="J2471" s="1">
        <v>2</v>
      </c>
      <c r="K2471" s="1">
        <v>2</v>
      </c>
      <c r="M2471" s="4">
        <v>1213</v>
      </c>
      <c r="N2471" s="1">
        <v>595.16</v>
      </c>
      <c r="O2471" s="1">
        <v>1507</v>
      </c>
      <c r="P2471" s="1">
        <v>911.83333333333303</v>
      </c>
      <c r="Q2471" s="1" t="s">
        <v>42</v>
      </c>
      <c r="S2471" s="1" t="s">
        <v>42</v>
      </c>
      <c r="T2471" s="1" t="s">
        <v>203</v>
      </c>
      <c r="U2471" s="1">
        <v>100</v>
      </c>
      <c r="V2471" s="5">
        <v>41921</v>
      </c>
      <c r="W2471" s="5">
        <v>41694</v>
      </c>
      <c r="X2471" s="1">
        <v>1080000</v>
      </c>
      <c r="Y2471" s="1">
        <v>1115000</v>
      </c>
      <c r="Z2471" s="5">
        <v>41794</v>
      </c>
      <c r="AA2471" s="1">
        <v>1120075</v>
      </c>
      <c r="AB2471" s="1" t="s">
        <v>1884</v>
      </c>
      <c r="AC2471" s="5">
        <v>41885</v>
      </c>
      <c r="AF2471" s="1">
        <v>10038</v>
      </c>
      <c r="AJ2471" s="1">
        <v>1900</v>
      </c>
      <c r="AL2471" s="1">
        <v>27</v>
      </c>
    </row>
    <row r="2472" spans="1:38" x14ac:dyDescent="0.2">
      <c r="A2472" s="2" t="str">
        <f>HYPERLINK("https://www.compass.com/listing/264-water-street-unit-pha-manhattan-ny-10038/803352212814381801/","264 Water St, Unit PHA")</f>
        <v>264 Water St, Unit PHA</v>
      </c>
      <c r="B2472" s="2" t="str">
        <f t="shared" si="391"/>
        <v>264 Water St</v>
      </c>
      <c r="C2472" s="1" t="s">
        <v>155</v>
      </c>
      <c r="D2472" s="1" t="s">
        <v>41</v>
      </c>
      <c r="E2472" s="3">
        <v>1552831</v>
      </c>
      <c r="F2472" s="1">
        <v>1259.3927412814201</v>
      </c>
      <c r="G2472" s="1">
        <v>3</v>
      </c>
      <c r="H2472" s="1">
        <v>1</v>
      </c>
      <c r="I2472" s="1">
        <v>2</v>
      </c>
      <c r="J2472" s="1">
        <v>2</v>
      </c>
      <c r="K2472" s="1">
        <v>2</v>
      </c>
      <c r="M2472" s="4">
        <v>1233</v>
      </c>
      <c r="N2472" s="1">
        <v>806.05</v>
      </c>
      <c r="O2472" s="1">
        <v>2453.62</v>
      </c>
      <c r="P2472" s="1">
        <v>1647.5833333333301</v>
      </c>
      <c r="Q2472" s="1" t="s">
        <v>42</v>
      </c>
      <c r="S2472" s="1" t="s">
        <v>42</v>
      </c>
      <c r="T2472" s="1" t="s">
        <v>203</v>
      </c>
      <c r="U2472" s="1">
        <v>127</v>
      </c>
      <c r="V2472" s="5">
        <v>41921</v>
      </c>
      <c r="W2472" s="5">
        <v>41667</v>
      </c>
      <c r="X2472" s="1">
        <v>1550000</v>
      </c>
      <c r="Y2472" s="1">
        <v>1575000</v>
      </c>
      <c r="Z2472" s="5">
        <v>41794</v>
      </c>
      <c r="AA2472" s="1">
        <v>1552831.25</v>
      </c>
      <c r="AB2472" s="1" t="s">
        <v>1885</v>
      </c>
      <c r="AC2472" s="5">
        <v>41918</v>
      </c>
      <c r="AF2472" s="1">
        <v>10038</v>
      </c>
      <c r="AJ2472" s="1">
        <v>1900</v>
      </c>
      <c r="AL2472" s="1">
        <v>27</v>
      </c>
    </row>
    <row r="2473" spans="1:38" x14ac:dyDescent="0.2">
      <c r="A2473" s="2" t="str">
        <f>HYPERLINK("https://www.compass.com/listing/264-water-street-unit-4b-manhattan-ny-10038/803404786963372433/","264 Water St, Unit 4B")</f>
        <v>264 Water St, Unit 4B</v>
      </c>
      <c r="B2473" s="2" t="str">
        <f t="shared" si="391"/>
        <v>264 Water St</v>
      </c>
      <c r="C2473" s="1" t="s">
        <v>155</v>
      </c>
      <c r="D2473" s="1" t="s">
        <v>41</v>
      </c>
      <c r="E2473" s="3">
        <v>1349181</v>
      </c>
      <c r="G2473" s="1">
        <v>3</v>
      </c>
      <c r="H2473" s="1" t="s">
        <v>77</v>
      </c>
      <c r="I2473" s="1">
        <v>2</v>
      </c>
      <c r="J2473" s="1">
        <v>2</v>
      </c>
      <c r="K2473" s="1">
        <v>2</v>
      </c>
      <c r="N2473" s="1">
        <v>803.17</v>
      </c>
      <c r="O2473" s="1">
        <v>2211.59</v>
      </c>
      <c r="P2473" s="1">
        <v>1408.4166666666599</v>
      </c>
      <c r="Q2473" s="1" t="s">
        <v>42</v>
      </c>
      <c r="S2473" s="1" t="s">
        <v>42</v>
      </c>
      <c r="T2473" s="1" t="s">
        <v>203</v>
      </c>
      <c r="U2473" s="1">
        <v>4</v>
      </c>
      <c r="V2473" s="5">
        <v>41921</v>
      </c>
      <c r="W2473" s="5">
        <v>41647</v>
      </c>
      <c r="X2473" s="1">
        <v>1325000</v>
      </c>
      <c r="Y2473" s="1">
        <v>1325000</v>
      </c>
      <c r="Z2473" s="5">
        <v>41822</v>
      </c>
      <c r="AA2473" s="1">
        <v>1349181.25</v>
      </c>
      <c r="AB2473" s="1" t="s">
        <v>1886</v>
      </c>
      <c r="AC2473" s="5">
        <v>41887</v>
      </c>
      <c r="AF2473" s="1">
        <v>10038</v>
      </c>
      <c r="AJ2473" s="1">
        <v>1900</v>
      </c>
      <c r="AL2473" s="1">
        <v>27</v>
      </c>
    </row>
    <row r="2474" spans="1:38" x14ac:dyDescent="0.2">
      <c r="A2474" s="2" t="str">
        <f>HYPERLINK("https://www.compass.com/listing/264-water-street-unit-3d-manhattan-ny-10038/803314344062488449/","264 Water St, Unit 3D")</f>
        <v>264 Water St, Unit 3D</v>
      </c>
      <c r="B2474" s="2" t="str">
        <f t="shared" si="391"/>
        <v>264 Water St</v>
      </c>
      <c r="C2474" s="1" t="s">
        <v>155</v>
      </c>
      <c r="D2474" s="1" t="s">
        <v>41</v>
      </c>
      <c r="E2474" s="3">
        <v>1120075</v>
      </c>
      <c r="F2474" s="1">
        <v>1005.4533213644499</v>
      </c>
      <c r="G2474" s="1">
        <v>3.5</v>
      </c>
      <c r="H2474" s="1">
        <v>1</v>
      </c>
      <c r="I2474" s="1">
        <v>2</v>
      </c>
      <c r="J2474" s="1">
        <v>1.5</v>
      </c>
      <c r="K2474" s="1">
        <v>1</v>
      </c>
      <c r="L2474" s="1">
        <v>1</v>
      </c>
      <c r="M2474" s="4">
        <v>1114</v>
      </c>
      <c r="N2474" s="1">
        <v>535.96</v>
      </c>
      <c r="O2474" s="1">
        <v>1404.59</v>
      </c>
      <c r="P2474" s="1">
        <v>868.66666666666595</v>
      </c>
      <c r="Q2474" s="1" t="s">
        <v>42</v>
      </c>
      <c r="S2474" s="1" t="s">
        <v>42</v>
      </c>
      <c r="T2474" s="1" t="s">
        <v>203</v>
      </c>
      <c r="U2474" s="1">
        <v>202</v>
      </c>
      <c r="V2474" s="5">
        <v>41979</v>
      </c>
      <c r="W2474" s="5">
        <v>41718</v>
      </c>
      <c r="X2474" s="1">
        <v>1025000</v>
      </c>
      <c r="Y2474" s="1">
        <v>1100000</v>
      </c>
      <c r="Z2474" s="5">
        <v>41921</v>
      </c>
      <c r="AA2474" s="1">
        <v>1120075</v>
      </c>
      <c r="AB2474" s="1" t="s">
        <v>1887</v>
      </c>
      <c r="AC2474" s="5">
        <v>41968</v>
      </c>
      <c r="AF2474" s="1">
        <v>10038</v>
      </c>
      <c r="AJ2474" s="1">
        <v>1900</v>
      </c>
      <c r="AL2474" s="1">
        <v>27</v>
      </c>
    </row>
    <row r="2475" spans="1:38" x14ac:dyDescent="0.2">
      <c r="A2475" s="2" t="str">
        <f>HYPERLINK("https://www.compass.com/listing/264-water-street-unit-4a-manhattan-ny-10038/803321862511806121/","264 Water St, Unit 4A")</f>
        <v>264 Water St, Unit 4A</v>
      </c>
      <c r="B2475" s="2" t="str">
        <f t="shared" si="391"/>
        <v>264 Water St</v>
      </c>
      <c r="C2475" s="1" t="s">
        <v>155</v>
      </c>
      <c r="D2475" s="1" t="s">
        <v>41</v>
      </c>
      <c r="E2475" s="3">
        <v>1262630</v>
      </c>
      <c r="F2475" s="1">
        <v>958.71678056188296</v>
      </c>
      <c r="G2475" s="1">
        <v>3</v>
      </c>
      <c r="H2475" s="1">
        <v>1</v>
      </c>
      <c r="I2475" s="1">
        <v>2</v>
      </c>
      <c r="J2475" s="1">
        <v>2</v>
      </c>
      <c r="K2475" s="1">
        <v>2</v>
      </c>
      <c r="M2475" s="4">
        <v>1317</v>
      </c>
      <c r="N2475" s="1">
        <v>741.61</v>
      </c>
      <c r="O2475" s="1">
        <v>1757.1599999999901</v>
      </c>
      <c r="P2475" s="1">
        <v>1015.58333333333</v>
      </c>
      <c r="Q2475" s="1" t="s">
        <v>42</v>
      </c>
      <c r="S2475" s="1" t="s">
        <v>42</v>
      </c>
      <c r="T2475" s="1" t="s">
        <v>203</v>
      </c>
      <c r="U2475" s="1">
        <v>28</v>
      </c>
      <c r="V2475" s="5">
        <v>41921</v>
      </c>
      <c r="W2475" s="5">
        <v>41760</v>
      </c>
      <c r="Y2475" s="1">
        <v>1240000</v>
      </c>
      <c r="Z2475" s="5">
        <v>41823</v>
      </c>
      <c r="AA2475" s="1">
        <v>1262630</v>
      </c>
      <c r="AB2475" s="1" t="s">
        <v>1888</v>
      </c>
      <c r="AC2475" s="5">
        <v>41898</v>
      </c>
      <c r="AF2475" s="1">
        <v>10038</v>
      </c>
      <c r="AJ2475" s="1">
        <v>1900</v>
      </c>
      <c r="AK2475" s="1" t="s">
        <v>61</v>
      </c>
      <c r="AL2475" s="1">
        <v>27</v>
      </c>
    </row>
    <row r="2476" spans="1:38" x14ac:dyDescent="0.2">
      <c r="A2476" s="2" t="str">
        <f>HYPERLINK("https://www.compass.com/listing/264-water-street-unit-1b-manhattan-ny-10038/803361082047167433/","264 Water St, Unit 1B")</f>
        <v>264 Water St, Unit 1B</v>
      </c>
      <c r="B2476" s="2" t="str">
        <f t="shared" si="391"/>
        <v>264 Water St</v>
      </c>
      <c r="C2476" s="1" t="s">
        <v>155</v>
      </c>
      <c r="D2476" s="1" t="s">
        <v>41</v>
      </c>
      <c r="E2476" s="3">
        <v>911334</v>
      </c>
      <c r="F2476" s="1">
        <v>786.31039689387399</v>
      </c>
      <c r="G2476" s="1">
        <v>2</v>
      </c>
      <c r="H2476" s="1" t="s">
        <v>77</v>
      </c>
      <c r="I2476" s="1">
        <v>2</v>
      </c>
      <c r="J2476" s="1">
        <v>2</v>
      </c>
      <c r="K2476" s="1">
        <v>2</v>
      </c>
      <c r="M2476" s="4">
        <v>1159</v>
      </c>
      <c r="N2476" s="1">
        <v>467.41</v>
      </c>
      <c r="O2476" s="1">
        <v>1146.94</v>
      </c>
      <c r="P2476" s="1">
        <v>679.5</v>
      </c>
      <c r="Q2476" s="1" t="s">
        <v>42</v>
      </c>
      <c r="S2476" s="1" t="s">
        <v>42</v>
      </c>
      <c r="T2476" s="1" t="s">
        <v>203</v>
      </c>
      <c r="U2476" s="1">
        <v>41</v>
      </c>
      <c r="V2476" s="5">
        <v>42019</v>
      </c>
      <c r="W2476" s="5">
        <v>41824</v>
      </c>
      <c r="X2476" s="1">
        <v>895000</v>
      </c>
      <c r="Y2476" s="1">
        <v>895000</v>
      </c>
      <c r="Z2476" s="5">
        <v>41865</v>
      </c>
      <c r="AA2476" s="1">
        <v>911333.75</v>
      </c>
      <c r="AB2476" s="1" t="s">
        <v>1889</v>
      </c>
      <c r="AC2476" s="5">
        <v>42013</v>
      </c>
      <c r="AF2476" s="1">
        <v>10038</v>
      </c>
      <c r="AJ2476" s="1">
        <v>1900</v>
      </c>
      <c r="AK2476" s="1" t="s">
        <v>61</v>
      </c>
      <c r="AL2476" s="1">
        <v>27</v>
      </c>
    </row>
    <row r="2477" spans="1:38" x14ac:dyDescent="0.2">
      <c r="A2477" s="2" t="str">
        <f>HYPERLINK("https://www.compass.com/listing/264-water-street-unit-2b-manhattan-ny-10038/192568577721677729/","264 Water St, Unit 2B")</f>
        <v>264 Water St, Unit 2B</v>
      </c>
      <c r="B2477" s="2" t="str">
        <f t="shared" si="391"/>
        <v>264 Water St</v>
      </c>
      <c r="C2477" s="1" t="s">
        <v>155</v>
      </c>
      <c r="D2477" s="1" t="s">
        <v>41</v>
      </c>
      <c r="E2477" s="3">
        <v>1354273</v>
      </c>
      <c r="F2477" s="1">
        <v>872.59858247422596</v>
      </c>
      <c r="G2477" s="1">
        <v>3</v>
      </c>
      <c r="H2477" s="1" t="s">
        <v>77</v>
      </c>
      <c r="I2477" s="1">
        <v>2</v>
      </c>
      <c r="J2477" s="1">
        <v>2</v>
      </c>
      <c r="M2477" s="4">
        <v>1552</v>
      </c>
      <c r="N2477" s="1">
        <v>826</v>
      </c>
      <c r="O2477" s="1">
        <v>1855</v>
      </c>
      <c r="P2477" s="1">
        <v>1029</v>
      </c>
      <c r="Q2477" s="1" t="s">
        <v>42</v>
      </c>
      <c r="S2477" s="1" t="s">
        <v>42</v>
      </c>
      <c r="T2477" s="1" t="s">
        <v>203</v>
      </c>
      <c r="U2477" s="1">
        <v>160</v>
      </c>
      <c r="V2477" s="5">
        <v>43654</v>
      </c>
      <c r="W2477" s="5">
        <v>41656</v>
      </c>
      <c r="X2477" s="1">
        <v>1245000</v>
      </c>
      <c r="Y2477" s="1">
        <v>1345000</v>
      </c>
      <c r="Z2477" s="5">
        <v>41816</v>
      </c>
      <c r="AA2477" s="1">
        <v>1354273</v>
      </c>
      <c r="AB2477" s="1" t="s">
        <v>1883</v>
      </c>
      <c r="AC2477" s="5">
        <v>41912</v>
      </c>
      <c r="AF2477" s="1">
        <v>10038</v>
      </c>
      <c r="AJ2477" s="1">
        <v>1900</v>
      </c>
      <c r="AL2477" s="1">
        <v>27</v>
      </c>
    </row>
    <row r="2478" spans="1:38" x14ac:dyDescent="0.2">
      <c r="A2478" s="2" t="str">
        <f>HYPERLINK("https://www.compass.com/listing/264-water-street-unit-3c-manhattan-ny-10038/192568564383815425/","264 Water St, Unit 3C")</f>
        <v>264 Water St, Unit 3C</v>
      </c>
      <c r="B2478" s="2" t="str">
        <f t="shared" si="391"/>
        <v>264 Water St</v>
      </c>
      <c r="C2478" s="1" t="s">
        <v>155</v>
      </c>
      <c r="D2478" s="1" t="s">
        <v>41</v>
      </c>
      <c r="E2478" s="3">
        <v>1120075</v>
      </c>
      <c r="F2478" s="1">
        <v>923.39241549876294</v>
      </c>
      <c r="G2478" s="1">
        <v>3</v>
      </c>
      <c r="H2478" s="1" t="s">
        <v>77</v>
      </c>
      <c r="I2478" s="1">
        <v>2</v>
      </c>
      <c r="J2478" s="1">
        <v>2</v>
      </c>
      <c r="M2478" s="4">
        <v>1213</v>
      </c>
      <c r="N2478" s="1">
        <v>595</v>
      </c>
      <c r="O2478" s="1">
        <v>1507</v>
      </c>
      <c r="P2478" s="1">
        <v>912</v>
      </c>
      <c r="Q2478" s="1" t="s">
        <v>42</v>
      </c>
      <c r="S2478" s="1" t="s">
        <v>42</v>
      </c>
      <c r="T2478" s="1" t="s">
        <v>203</v>
      </c>
      <c r="U2478" s="1">
        <v>93</v>
      </c>
      <c r="V2478" s="5">
        <v>43655</v>
      </c>
      <c r="W2478" s="5">
        <v>41695</v>
      </c>
      <c r="X2478" s="1">
        <v>1080000</v>
      </c>
      <c r="Y2478" s="1">
        <v>1115000</v>
      </c>
      <c r="Z2478" s="5">
        <v>41788</v>
      </c>
      <c r="AA2478" s="1">
        <v>1120075</v>
      </c>
      <c r="AB2478" s="1" t="s">
        <v>1884</v>
      </c>
      <c r="AC2478" s="5">
        <v>41885</v>
      </c>
      <c r="AF2478" s="1">
        <v>10038</v>
      </c>
      <c r="AJ2478" s="1">
        <v>1900</v>
      </c>
      <c r="AL2478" s="1">
        <v>27</v>
      </c>
    </row>
    <row r="2479" spans="1:38" x14ac:dyDescent="0.2">
      <c r="A2479" s="2" t="str">
        <f>HYPERLINK("https://www.compass.com/listing/264-water-street-unit-pha-manhattan-ny-10038/212932622127519505/","264 Water St, Unit PHA")</f>
        <v>264 Water St, Unit PHA</v>
      </c>
      <c r="B2479" s="2" t="str">
        <f t="shared" si="391"/>
        <v>264 Water St</v>
      </c>
      <c r="C2479" s="1" t="s">
        <v>155</v>
      </c>
      <c r="D2479" s="1" t="s">
        <v>41</v>
      </c>
      <c r="E2479" s="3">
        <v>1552831</v>
      </c>
      <c r="F2479" s="1">
        <v>1259.3925385239199</v>
      </c>
      <c r="G2479" s="1">
        <v>3</v>
      </c>
      <c r="H2479" s="1">
        <v>1</v>
      </c>
      <c r="I2479" s="1">
        <v>2</v>
      </c>
      <c r="J2479" s="1">
        <v>2</v>
      </c>
      <c r="M2479" s="4">
        <v>1233</v>
      </c>
      <c r="N2479" s="1">
        <v>806</v>
      </c>
      <c r="O2479" s="1">
        <v>2454</v>
      </c>
      <c r="P2479" s="1">
        <v>1648</v>
      </c>
      <c r="Q2479" s="1" t="s">
        <v>42</v>
      </c>
      <c r="S2479" s="1" t="s">
        <v>42</v>
      </c>
      <c r="T2479" s="1" t="s">
        <v>203</v>
      </c>
      <c r="U2479" s="1">
        <v>250</v>
      </c>
      <c r="V2479" s="5">
        <v>43656</v>
      </c>
      <c r="W2479" s="5">
        <v>41668</v>
      </c>
      <c r="X2479" s="1">
        <v>1550000</v>
      </c>
      <c r="Y2479" s="1">
        <v>1575000</v>
      </c>
      <c r="AA2479" s="1">
        <v>1552831</v>
      </c>
      <c r="AB2479" s="1" t="s">
        <v>1885</v>
      </c>
      <c r="AC2479" s="5">
        <v>41919</v>
      </c>
      <c r="AF2479" s="1">
        <v>10038</v>
      </c>
      <c r="AJ2479" s="1">
        <v>1900</v>
      </c>
      <c r="AL2479" s="1">
        <v>27</v>
      </c>
    </row>
    <row r="2480" spans="1:38" x14ac:dyDescent="0.2">
      <c r="A2480" s="2" t="str">
        <f>HYPERLINK("https://www.compass.com/listing/264-water-street-unit-4b-manhattan-ny-10038/192568582352241617/","264 Water St, Unit 4B")</f>
        <v>264 Water St, Unit 4B</v>
      </c>
      <c r="B2480" s="2" t="str">
        <f t="shared" si="391"/>
        <v>264 Water St</v>
      </c>
      <c r="C2480" s="1" t="s">
        <v>155</v>
      </c>
      <c r="D2480" s="1" t="s">
        <v>41</v>
      </c>
      <c r="E2480" s="3">
        <v>1349181</v>
      </c>
      <c r="G2480" s="1">
        <v>3</v>
      </c>
      <c r="H2480" s="1" t="s">
        <v>77</v>
      </c>
      <c r="I2480" s="1">
        <v>2</v>
      </c>
      <c r="J2480" s="1">
        <v>2</v>
      </c>
      <c r="N2480" s="1">
        <v>803</v>
      </c>
      <c r="O2480" s="1">
        <v>2211</v>
      </c>
      <c r="P2480" s="1">
        <v>1408</v>
      </c>
      <c r="Q2480" s="1" t="s">
        <v>42</v>
      </c>
      <c r="S2480" s="1" t="s">
        <v>42</v>
      </c>
      <c r="T2480" s="1" t="s">
        <v>203</v>
      </c>
      <c r="U2480" s="1">
        <v>6</v>
      </c>
      <c r="V2480" s="5">
        <v>41921</v>
      </c>
      <c r="W2480" s="5">
        <v>41647</v>
      </c>
      <c r="X2480" s="1">
        <v>1325000</v>
      </c>
      <c r="Y2480" s="1">
        <v>1325000</v>
      </c>
      <c r="Z2480" s="5">
        <v>41823</v>
      </c>
      <c r="AA2480" s="1">
        <v>1349181.25</v>
      </c>
      <c r="AB2480" s="1" t="s">
        <v>1886</v>
      </c>
      <c r="AC2480" s="5">
        <v>41887</v>
      </c>
      <c r="AF2480" s="1">
        <v>10038</v>
      </c>
      <c r="AJ2480" s="1">
        <v>1900</v>
      </c>
      <c r="AL2480" s="1">
        <v>27</v>
      </c>
    </row>
    <row r="2481" spans="1:38" x14ac:dyDescent="0.2">
      <c r="A2481" s="2" t="str">
        <f>HYPERLINK("https://www.compass.com/listing/264-water-street-unit-3d-manhattan-ny-10038/212935064579822897/","264 Water St, Unit 3D")</f>
        <v>264 Water St, Unit 3D</v>
      </c>
      <c r="B2481" s="2" t="str">
        <f t="shared" si="391"/>
        <v>264 Water St</v>
      </c>
      <c r="C2481" s="1" t="s">
        <v>155</v>
      </c>
      <c r="D2481" s="1" t="s">
        <v>41</v>
      </c>
      <c r="E2481" s="3">
        <v>1120075</v>
      </c>
      <c r="F2481" s="1">
        <v>1005.4533213644499</v>
      </c>
      <c r="G2481" s="1">
        <v>3</v>
      </c>
      <c r="H2481" s="1">
        <v>1</v>
      </c>
      <c r="I2481" s="1">
        <v>2</v>
      </c>
      <c r="J2481" s="1">
        <v>1.5</v>
      </c>
      <c r="M2481" s="4">
        <v>1114</v>
      </c>
      <c r="N2481" s="1">
        <v>536</v>
      </c>
      <c r="O2481" s="1">
        <v>1405</v>
      </c>
      <c r="P2481" s="1">
        <v>869</v>
      </c>
      <c r="Q2481" s="1" t="s">
        <v>42</v>
      </c>
      <c r="S2481" s="1" t="s">
        <v>42</v>
      </c>
      <c r="T2481" s="1" t="s">
        <v>203</v>
      </c>
      <c r="U2481" s="1">
        <v>202</v>
      </c>
      <c r="V2481" s="5">
        <v>43655</v>
      </c>
      <c r="W2481" s="5">
        <v>41719</v>
      </c>
      <c r="X2481" s="1">
        <v>1025000</v>
      </c>
      <c r="Y2481" s="1">
        <v>1100000</v>
      </c>
      <c r="Z2481" s="5">
        <v>41921</v>
      </c>
      <c r="AA2481" s="1">
        <v>1120075</v>
      </c>
      <c r="AB2481" s="1" t="s">
        <v>1887</v>
      </c>
      <c r="AC2481" s="5">
        <v>41968</v>
      </c>
      <c r="AF2481" s="1">
        <v>10038</v>
      </c>
      <c r="AJ2481" s="1">
        <v>1900</v>
      </c>
      <c r="AL2481" s="1">
        <v>27</v>
      </c>
    </row>
    <row r="2482" spans="1:38" x14ac:dyDescent="0.2">
      <c r="A2482" s="2" t="str">
        <f>HYPERLINK("https://www.compass.com/listing/264-water-street-unit-1b-manhattan-ny-10038/192569113686642497/","264 Water St, Unit 1B")</f>
        <v>264 Water St, Unit 1B</v>
      </c>
      <c r="B2482" s="2" t="str">
        <f t="shared" si="391"/>
        <v>264 Water St</v>
      </c>
      <c r="C2482" s="1" t="s">
        <v>155</v>
      </c>
      <c r="D2482" s="1" t="s">
        <v>41</v>
      </c>
      <c r="E2482" s="3">
        <v>911334</v>
      </c>
      <c r="F2482" s="1">
        <v>786.31061259706598</v>
      </c>
      <c r="G2482" s="1">
        <v>2</v>
      </c>
      <c r="H2482" s="1" t="s">
        <v>77</v>
      </c>
      <c r="I2482" s="1">
        <v>2</v>
      </c>
      <c r="J2482" s="1">
        <v>2</v>
      </c>
      <c r="M2482" s="4">
        <v>1159</v>
      </c>
      <c r="N2482" s="1">
        <v>467</v>
      </c>
      <c r="O2482" s="1">
        <v>1147</v>
      </c>
      <c r="P2482" s="1">
        <v>680</v>
      </c>
      <c r="Q2482" s="1" t="s">
        <v>42</v>
      </c>
      <c r="S2482" s="1" t="s">
        <v>42</v>
      </c>
      <c r="T2482" s="1" t="s">
        <v>203</v>
      </c>
      <c r="U2482" s="1">
        <v>42</v>
      </c>
      <c r="V2482" s="5">
        <v>43654</v>
      </c>
      <c r="W2482" s="5">
        <v>41823</v>
      </c>
      <c r="X2482" s="1">
        <v>875000</v>
      </c>
      <c r="Y2482" s="1">
        <v>895000</v>
      </c>
      <c r="Z2482" s="5">
        <v>41865</v>
      </c>
      <c r="AA2482" s="1">
        <v>911334</v>
      </c>
      <c r="AB2482" s="1" t="s">
        <v>1889</v>
      </c>
      <c r="AC2482" s="5">
        <v>42014</v>
      </c>
      <c r="AF2482" s="1">
        <v>10038</v>
      </c>
      <c r="AJ2482" s="1">
        <v>1900</v>
      </c>
      <c r="AL2482" s="1">
        <v>27</v>
      </c>
    </row>
    <row r="2483" spans="1:38" x14ac:dyDescent="0.2">
      <c r="A2483" s="2" t="str">
        <f>HYPERLINK("https://www.compass.com/listing/264-water-street-unit-4a-manhattan-ny-10038/212932618914725793/","264 Water St, Unit 4A")</f>
        <v>264 Water St, Unit 4A</v>
      </c>
      <c r="B2483" s="2" t="str">
        <f t="shared" si="391"/>
        <v>264 Water St</v>
      </c>
      <c r="C2483" s="1" t="s">
        <v>155</v>
      </c>
      <c r="D2483" s="1" t="s">
        <v>41</v>
      </c>
      <c r="E2483" s="3">
        <v>1262630</v>
      </c>
      <c r="F2483" s="1">
        <v>958.71678056188296</v>
      </c>
      <c r="G2483" s="1">
        <v>3</v>
      </c>
      <c r="H2483" s="1">
        <v>1</v>
      </c>
      <c r="I2483" s="1">
        <v>2</v>
      </c>
      <c r="J2483" s="1">
        <v>2</v>
      </c>
      <c r="M2483" s="4">
        <v>1317</v>
      </c>
      <c r="N2483" s="1">
        <v>742</v>
      </c>
      <c r="O2483" s="1">
        <v>1758</v>
      </c>
      <c r="P2483" s="1">
        <v>1016</v>
      </c>
      <c r="Q2483" s="1" t="s">
        <v>42</v>
      </c>
      <c r="S2483" s="1" t="s">
        <v>42</v>
      </c>
      <c r="T2483" s="1" t="s">
        <v>203</v>
      </c>
      <c r="U2483" s="1">
        <v>49</v>
      </c>
      <c r="V2483" s="5">
        <v>43671</v>
      </c>
      <c r="W2483" s="5">
        <v>41529</v>
      </c>
      <c r="X2483" s="1">
        <v>1175000</v>
      </c>
      <c r="Y2483" s="1">
        <v>1175000</v>
      </c>
      <c r="Z2483" s="5">
        <v>41578</v>
      </c>
      <c r="AA2483" s="1">
        <v>1262630</v>
      </c>
      <c r="AB2483" s="1" t="s">
        <v>1888</v>
      </c>
      <c r="AC2483" s="5">
        <v>41898</v>
      </c>
      <c r="AF2483" s="1">
        <v>10038</v>
      </c>
      <c r="AJ2483" s="1">
        <v>1900</v>
      </c>
      <c r="AL2483" s="1">
        <v>27</v>
      </c>
    </row>
    <row r="2484" spans="1:38" x14ac:dyDescent="0.2">
      <c r="A2484" s="2" t="str">
        <f>HYPERLINK("https://www.compass.com/listing/264-water-street-unit-phd-manhattan-ny-10038/192568782328242593/","264 Water St, Unit PHD")</f>
        <v>264 Water St, Unit PHD</v>
      </c>
      <c r="B2484" s="2" t="str">
        <f t="shared" si="391"/>
        <v>264 Water St</v>
      </c>
      <c r="C2484" s="1" t="s">
        <v>155</v>
      </c>
      <c r="D2484" s="1" t="s">
        <v>41</v>
      </c>
      <c r="E2484" s="3">
        <v>1761573</v>
      </c>
      <c r="G2484" s="1">
        <v>4</v>
      </c>
      <c r="H2484" s="1">
        <v>2</v>
      </c>
      <c r="I2484" s="1">
        <v>3</v>
      </c>
      <c r="J2484" s="1">
        <v>2.5</v>
      </c>
      <c r="N2484" s="1">
        <v>1044</v>
      </c>
      <c r="O2484" s="1">
        <v>2362</v>
      </c>
      <c r="P2484" s="1">
        <v>1318</v>
      </c>
      <c r="Q2484" s="1" t="s">
        <v>42</v>
      </c>
      <c r="S2484" s="1" t="s">
        <v>42</v>
      </c>
      <c r="T2484" s="1" t="s">
        <v>203</v>
      </c>
      <c r="U2484" s="1">
        <v>127</v>
      </c>
      <c r="V2484" s="5">
        <v>43669</v>
      </c>
      <c r="W2484" s="5">
        <v>41823</v>
      </c>
      <c r="X2484" s="1">
        <v>1750000</v>
      </c>
      <c r="Y2484" s="1">
        <v>1775000</v>
      </c>
      <c r="AA2484" s="1">
        <v>1761573</v>
      </c>
      <c r="AB2484" s="1" t="s">
        <v>204</v>
      </c>
      <c r="AC2484" s="5">
        <v>41950</v>
      </c>
      <c r="AF2484" s="1">
        <v>10038</v>
      </c>
      <c r="AJ2484" s="1">
        <v>1900</v>
      </c>
      <c r="AL2484" s="1">
        <v>27</v>
      </c>
    </row>
    <row r="2485" spans="1:38" x14ac:dyDescent="0.2">
      <c r="A2485" s="2" t="str">
        <f>HYPERLINK("https://www.compass.com/listing/264-water-street-unit-6b-manhattan-ny-10038/803378165044945489/","264 Water St, Unit 6B")</f>
        <v>264 Water St, Unit 6B</v>
      </c>
      <c r="B2485" s="2" t="str">
        <f t="shared" si="391"/>
        <v>264 Water St</v>
      </c>
      <c r="C2485" s="1" t="s">
        <v>155</v>
      </c>
      <c r="D2485" s="1" t="s">
        <v>41</v>
      </c>
      <c r="E2485" s="3">
        <v>1537558</v>
      </c>
      <c r="F2485" s="1">
        <v>990.69426546391696</v>
      </c>
      <c r="G2485" s="1">
        <v>3</v>
      </c>
      <c r="H2485" s="1" t="s">
        <v>77</v>
      </c>
      <c r="I2485" s="1">
        <v>2</v>
      </c>
      <c r="J2485" s="1">
        <v>2</v>
      </c>
      <c r="K2485" s="1">
        <v>2</v>
      </c>
      <c r="M2485" s="4">
        <v>1552</v>
      </c>
      <c r="N2485" s="1">
        <v>965.96</v>
      </c>
      <c r="O2485" s="1">
        <v>2223.52</v>
      </c>
      <c r="P2485" s="1">
        <v>1257.5833333333301</v>
      </c>
      <c r="Q2485" s="1" t="s">
        <v>42</v>
      </c>
      <c r="S2485" s="1" t="s">
        <v>42</v>
      </c>
      <c r="T2485" s="1" t="s">
        <v>203</v>
      </c>
      <c r="U2485" s="1">
        <v>64</v>
      </c>
      <c r="V2485" s="5">
        <v>41886</v>
      </c>
      <c r="W2485" s="5">
        <v>41652</v>
      </c>
      <c r="X2485" s="1">
        <v>1540000</v>
      </c>
      <c r="Y2485" s="1">
        <v>1540000</v>
      </c>
      <c r="Z2485" s="5">
        <v>41717</v>
      </c>
      <c r="AA2485" s="1">
        <v>1537557.5</v>
      </c>
      <c r="AB2485" s="1" t="s">
        <v>1890</v>
      </c>
      <c r="AC2485" s="5">
        <v>41880</v>
      </c>
      <c r="AF2485" s="1">
        <v>10038</v>
      </c>
      <c r="AJ2485" s="1">
        <v>1900</v>
      </c>
      <c r="AL2485" s="1">
        <v>27</v>
      </c>
    </row>
    <row r="2486" spans="1:38" x14ac:dyDescent="0.2">
      <c r="A2486" s="2" t="str">
        <f>HYPERLINK("https://www.compass.com/listing/264-water-street-unit-6b-manhattan-ny-10038/192568352697284705/","264 Water St, Unit 6B")</f>
        <v>264 Water St, Unit 6B</v>
      </c>
      <c r="B2486" s="2" t="str">
        <f t="shared" si="391"/>
        <v>264 Water St</v>
      </c>
      <c r="C2486" s="1" t="s">
        <v>155</v>
      </c>
      <c r="D2486" s="1" t="s">
        <v>41</v>
      </c>
      <c r="E2486" s="3">
        <v>1537558</v>
      </c>
      <c r="F2486" s="1">
        <v>990.69458762886597</v>
      </c>
      <c r="G2486" s="1">
        <v>3</v>
      </c>
      <c r="H2486" s="1" t="s">
        <v>77</v>
      </c>
      <c r="I2486" s="1">
        <v>2</v>
      </c>
      <c r="J2486" s="1">
        <v>2</v>
      </c>
      <c r="M2486" s="4">
        <v>1552</v>
      </c>
      <c r="N2486" s="1">
        <v>966</v>
      </c>
      <c r="O2486" s="1">
        <v>2224</v>
      </c>
      <c r="P2486" s="1">
        <v>1258</v>
      </c>
      <c r="Q2486" s="1" t="s">
        <v>42</v>
      </c>
      <c r="S2486" s="1" t="s">
        <v>42</v>
      </c>
      <c r="T2486" s="1" t="s">
        <v>203</v>
      </c>
      <c r="U2486" s="1">
        <v>210</v>
      </c>
      <c r="V2486" s="5">
        <v>43655</v>
      </c>
      <c r="W2486" s="5">
        <v>41653</v>
      </c>
      <c r="X2486" s="1">
        <v>1540000</v>
      </c>
      <c r="Y2486" s="1">
        <v>1540000</v>
      </c>
      <c r="Z2486" s="5">
        <v>41863</v>
      </c>
      <c r="AA2486" s="1">
        <v>1537558</v>
      </c>
      <c r="AB2486" s="1" t="s">
        <v>1890</v>
      </c>
      <c r="AC2486" s="5">
        <v>41881</v>
      </c>
      <c r="AF2486" s="1">
        <v>10038</v>
      </c>
      <c r="AJ2486" s="1">
        <v>1900</v>
      </c>
      <c r="AL2486" s="1">
        <v>27</v>
      </c>
    </row>
    <row r="2487" spans="1:38" x14ac:dyDescent="0.2">
      <c r="A2487" s="2" t="str">
        <f>HYPERLINK("https://www.compass.com/listing/264-water-street-unit-phc-manhattan-ny-10038/803412310269996073/","264 Water St, Unit PHC")</f>
        <v>264 Water St, Unit PHC</v>
      </c>
      <c r="B2487" s="2" t="str">
        <f t="shared" si="391"/>
        <v>264 Water St</v>
      </c>
      <c r="C2487" s="1" t="s">
        <v>155</v>
      </c>
      <c r="D2487" s="1" t="s">
        <v>41</v>
      </c>
      <c r="E2487" s="3">
        <v>2031555</v>
      </c>
      <c r="F2487" s="1">
        <v>1442.8655894886299</v>
      </c>
      <c r="G2487" s="1">
        <v>4</v>
      </c>
      <c r="H2487" s="1">
        <v>2</v>
      </c>
      <c r="I2487" s="1">
        <v>2</v>
      </c>
      <c r="J2487" s="1">
        <v>2</v>
      </c>
      <c r="K2487" s="1">
        <v>2</v>
      </c>
      <c r="M2487" s="4">
        <v>1408</v>
      </c>
      <c r="N2487" s="1">
        <v>978.78</v>
      </c>
      <c r="O2487" s="1">
        <v>3099.38</v>
      </c>
      <c r="P2487" s="1">
        <v>2120.5833333333298</v>
      </c>
      <c r="Q2487" s="1" t="s">
        <v>42</v>
      </c>
      <c r="S2487" s="1" t="s">
        <v>42</v>
      </c>
      <c r="T2487" s="1" t="s">
        <v>203</v>
      </c>
      <c r="U2487" s="1">
        <v>224</v>
      </c>
      <c r="V2487" s="5">
        <v>42004</v>
      </c>
      <c r="W2487" s="5">
        <v>41591</v>
      </c>
      <c r="X2487" s="1">
        <v>1995000</v>
      </c>
      <c r="Y2487" s="1">
        <v>1995000</v>
      </c>
      <c r="Z2487" s="5">
        <v>41816</v>
      </c>
      <c r="AA2487" s="1">
        <v>2031554.75</v>
      </c>
      <c r="AB2487" s="1" t="s">
        <v>1891</v>
      </c>
      <c r="AC2487" s="5">
        <v>41982</v>
      </c>
      <c r="AF2487" s="1">
        <v>10038</v>
      </c>
      <c r="AI2487" s="1" t="s">
        <v>403</v>
      </c>
      <c r="AJ2487" s="1">
        <v>1900</v>
      </c>
      <c r="AL2487" s="1">
        <v>27</v>
      </c>
    </row>
    <row r="2488" spans="1:38" x14ac:dyDescent="0.2">
      <c r="A2488" s="2" t="str">
        <f>HYPERLINK("https://www.compass.com/listing/264-water-street-unit-phc-manhattan-ny-10038/803412310269996065/","264 Water St, Unit PHC")</f>
        <v>264 Water St, Unit PHC</v>
      </c>
      <c r="B2488" s="2" t="str">
        <f t="shared" si="391"/>
        <v>264 Water St</v>
      </c>
      <c r="C2488" s="1" t="s">
        <v>155</v>
      </c>
      <c r="D2488" s="1" t="s">
        <v>41</v>
      </c>
      <c r="E2488" s="3">
        <v>2031555</v>
      </c>
      <c r="F2488" s="1">
        <v>1442.8655894886299</v>
      </c>
      <c r="G2488" s="1">
        <v>4</v>
      </c>
      <c r="H2488" s="1">
        <v>2</v>
      </c>
      <c r="I2488" s="1">
        <v>2</v>
      </c>
      <c r="J2488" s="1">
        <v>2</v>
      </c>
      <c r="M2488" s="4">
        <v>1408</v>
      </c>
      <c r="N2488" s="1">
        <v>979</v>
      </c>
      <c r="O2488" s="1">
        <v>3100</v>
      </c>
      <c r="P2488" s="1">
        <v>2121</v>
      </c>
      <c r="Q2488" s="1" t="s">
        <v>42</v>
      </c>
      <c r="S2488" s="1" t="s">
        <v>42</v>
      </c>
      <c r="T2488" s="1" t="s">
        <v>203</v>
      </c>
      <c r="U2488" s="1">
        <v>226</v>
      </c>
      <c r="V2488" s="5">
        <v>42005</v>
      </c>
      <c r="W2488" s="5">
        <v>41591</v>
      </c>
      <c r="X2488" s="1">
        <v>1995000</v>
      </c>
      <c r="Y2488" s="1">
        <v>1995000</v>
      </c>
      <c r="Z2488" s="5">
        <v>41817</v>
      </c>
      <c r="AA2488" s="1">
        <v>2031554.75</v>
      </c>
      <c r="AB2488" s="1" t="s">
        <v>1891</v>
      </c>
      <c r="AC2488" s="5">
        <v>41982</v>
      </c>
      <c r="AF2488" s="1">
        <v>10038</v>
      </c>
      <c r="AI2488" s="1" t="s">
        <v>71</v>
      </c>
      <c r="AJ2488" s="1">
        <v>1900</v>
      </c>
      <c r="AL2488" s="1">
        <v>27</v>
      </c>
    </row>
    <row r="2489" spans="1:38" x14ac:dyDescent="0.2">
      <c r="A2489" s="2" t="str">
        <f>HYPERLINK("https://www.compass.com/listing/264-water-street-unit-2d-manhattan-ny-10038/613810382471280465/","264 Water St, Unit 2D")</f>
        <v>264 Water St, Unit 2D</v>
      </c>
      <c r="B2489" s="2" t="str">
        <f t="shared" si="391"/>
        <v>264 Water St</v>
      </c>
      <c r="C2489" s="1" t="s">
        <v>155</v>
      </c>
      <c r="D2489" s="1" t="s">
        <v>41</v>
      </c>
      <c r="E2489" s="3">
        <v>999000</v>
      </c>
      <c r="F2489" s="1">
        <v>896.76840215439802</v>
      </c>
      <c r="G2489" s="1">
        <v>4</v>
      </c>
      <c r="H2489" s="1">
        <v>2</v>
      </c>
      <c r="I2489" s="1">
        <v>2</v>
      </c>
      <c r="J2489" s="1">
        <v>1.5</v>
      </c>
      <c r="K2489" s="1">
        <v>1</v>
      </c>
      <c r="L2489" s="1">
        <v>1</v>
      </c>
      <c r="M2489" s="4">
        <v>1114</v>
      </c>
      <c r="N2489" s="1">
        <v>841</v>
      </c>
      <c r="O2489" s="1">
        <v>1754</v>
      </c>
      <c r="P2489" s="1">
        <v>913</v>
      </c>
      <c r="Q2489" s="1" t="s">
        <v>42</v>
      </c>
      <c r="S2489" s="1" t="s">
        <v>42</v>
      </c>
      <c r="T2489" s="1" t="s">
        <v>203</v>
      </c>
      <c r="U2489" s="1">
        <v>51</v>
      </c>
      <c r="V2489" s="5">
        <v>44280</v>
      </c>
      <c r="W2489" s="5">
        <v>44200</v>
      </c>
      <c r="X2489" s="1">
        <v>1050000</v>
      </c>
      <c r="Y2489" s="1">
        <v>1050000</v>
      </c>
      <c r="Z2489" s="5">
        <v>44252</v>
      </c>
      <c r="AA2489" s="1">
        <v>999000</v>
      </c>
      <c r="AB2489" s="1" t="s">
        <v>1892</v>
      </c>
      <c r="AC2489" s="5">
        <v>44277</v>
      </c>
      <c r="AF2489" s="1">
        <v>10038</v>
      </c>
      <c r="AJ2489" s="1">
        <v>1900</v>
      </c>
      <c r="AL2489" s="1">
        <v>27</v>
      </c>
    </row>
    <row r="2490" spans="1:38" x14ac:dyDescent="0.2">
      <c r="A2490" s="2" t="str">
        <f>HYPERLINK("https://www.compass.com/listing/264-water-street-unit-phc-manhattan-ny-10038/212936855883217249/","264 Water St, Unit PHC")</f>
        <v>264 Water St, Unit PHC</v>
      </c>
      <c r="B2490" s="2" t="str">
        <f t="shared" si="391"/>
        <v>264 Water St</v>
      </c>
      <c r="C2490" s="1" t="s">
        <v>155</v>
      </c>
      <c r="D2490" s="1" t="s">
        <v>41</v>
      </c>
      <c r="E2490" s="3">
        <v>2031555</v>
      </c>
      <c r="F2490" s="1">
        <v>1442.86576704545</v>
      </c>
      <c r="G2490" s="1">
        <v>4</v>
      </c>
      <c r="H2490" s="1">
        <v>2</v>
      </c>
      <c r="I2490" s="1">
        <v>2</v>
      </c>
      <c r="J2490" s="1">
        <v>2</v>
      </c>
      <c r="M2490" s="4">
        <v>1408</v>
      </c>
      <c r="N2490" s="1">
        <v>979</v>
      </c>
      <c r="O2490" s="1">
        <v>3100</v>
      </c>
      <c r="P2490" s="1">
        <v>2121</v>
      </c>
      <c r="Q2490" s="1" t="s">
        <v>42</v>
      </c>
      <c r="S2490" s="1" t="s">
        <v>42</v>
      </c>
      <c r="T2490" s="1" t="s">
        <v>203</v>
      </c>
      <c r="U2490" s="1">
        <v>103</v>
      </c>
      <c r="V2490" s="5">
        <v>43654</v>
      </c>
      <c r="W2490" s="5">
        <v>41592</v>
      </c>
      <c r="X2490" s="1">
        <v>1995000</v>
      </c>
      <c r="Y2490" s="1">
        <v>1995000</v>
      </c>
      <c r="Z2490" s="5">
        <v>41695</v>
      </c>
      <c r="AA2490" s="1">
        <v>2031555</v>
      </c>
      <c r="AB2490" s="1" t="s">
        <v>1891</v>
      </c>
      <c r="AC2490" s="5">
        <v>41983</v>
      </c>
      <c r="AF2490" s="1">
        <v>10038</v>
      </c>
      <c r="AJ2490" s="1">
        <v>1900</v>
      </c>
      <c r="AK2490" s="1" t="s">
        <v>55</v>
      </c>
      <c r="AL2490" s="1">
        <v>27</v>
      </c>
    </row>
    <row r="2491" spans="1:38" x14ac:dyDescent="0.2">
      <c r="A2491" s="2" t="str">
        <f>HYPERLINK("https://www.compass.com/listing/264-water-street-unit-2c-manhattan-ny-10038/603619742296782129/","264 Water St, Unit 2C")</f>
        <v>264 Water St, Unit 2C</v>
      </c>
      <c r="B2491" s="2" t="str">
        <f t="shared" si="391"/>
        <v>264 Water St</v>
      </c>
      <c r="C2491" s="1" t="s">
        <v>155</v>
      </c>
      <c r="D2491" s="1" t="s">
        <v>41</v>
      </c>
      <c r="E2491" s="3">
        <v>1035000</v>
      </c>
      <c r="F2491" s="1">
        <v>853.25638911788894</v>
      </c>
      <c r="G2491" s="1">
        <v>4</v>
      </c>
      <c r="H2491" s="1">
        <v>2</v>
      </c>
      <c r="I2491" s="1">
        <v>2</v>
      </c>
      <c r="J2491" s="1">
        <v>2</v>
      </c>
      <c r="K2491" s="1">
        <v>2</v>
      </c>
      <c r="M2491" s="4">
        <v>1213</v>
      </c>
      <c r="N2491" s="1">
        <v>975</v>
      </c>
      <c r="O2491" s="1">
        <v>1904</v>
      </c>
      <c r="P2491" s="1">
        <v>929</v>
      </c>
      <c r="Q2491" s="1" t="s">
        <v>42</v>
      </c>
      <c r="S2491" s="1" t="s">
        <v>42</v>
      </c>
      <c r="T2491" s="1" t="s">
        <v>203</v>
      </c>
      <c r="U2491" s="1">
        <v>168</v>
      </c>
      <c r="V2491" s="5">
        <v>44308</v>
      </c>
      <c r="W2491" s="5">
        <v>44084</v>
      </c>
      <c r="X2491" s="1">
        <v>1225500</v>
      </c>
      <c r="Y2491" s="1">
        <v>1225500</v>
      </c>
      <c r="Z2491" s="5">
        <v>44252</v>
      </c>
      <c r="AA2491" s="1">
        <v>1035000</v>
      </c>
      <c r="AB2491" s="1" t="s">
        <v>1893</v>
      </c>
      <c r="AC2491" s="5">
        <v>44274</v>
      </c>
      <c r="AF2491" s="1">
        <v>10038</v>
      </c>
      <c r="AJ2491" s="1">
        <v>1900</v>
      </c>
      <c r="AL2491" s="1">
        <v>27</v>
      </c>
    </row>
    <row r="2492" spans="1:38" x14ac:dyDescent="0.2">
      <c r="A2492" s="2" t="str">
        <f>HYPERLINK("https://www.compass.com/listing/264-water-street-unit-5b-manhattan-ny-10038/161314030596722881/","264 Water St, Unit 5B")</f>
        <v>264 Water St, Unit 5B</v>
      </c>
      <c r="B2492" s="2" t="str">
        <f t="shared" si="391"/>
        <v>264 Water St</v>
      </c>
      <c r="C2492" s="1" t="s">
        <v>155</v>
      </c>
      <c r="D2492" s="1" t="s">
        <v>41</v>
      </c>
      <c r="E2492" s="3">
        <v>1550000</v>
      </c>
      <c r="F2492" s="1">
        <v>998.71134020618501</v>
      </c>
      <c r="G2492" s="1">
        <v>4</v>
      </c>
      <c r="H2492" s="1">
        <v>2</v>
      </c>
      <c r="I2492" s="1">
        <v>2</v>
      </c>
      <c r="J2492" s="1">
        <v>2</v>
      </c>
      <c r="K2492" s="1">
        <v>2</v>
      </c>
      <c r="M2492" s="4">
        <v>1552</v>
      </c>
      <c r="N2492" s="1">
        <v>1615</v>
      </c>
      <c r="O2492" s="1">
        <v>2850</v>
      </c>
      <c r="P2492" s="1">
        <v>1235</v>
      </c>
      <c r="Q2492" s="1" t="s">
        <v>42</v>
      </c>
      <c r="S2492" s="1" t="s">
        <v>42</v>
      </c>
      <c r="T2492" s="1" t="s">
        <v>203</v>
      </c>
      <c r="U2492" s="1">
        <v>33</v>
      </c>
      <c r="V2492" s="5">
        <v>43637</v>
      </c>
      <c r="W2492" s="5">
        <v>43475</v>
      </c>
      <c r="X2492" s="1">
        <v>1550000</v>
      </c>
      <c r="Y2492" s="1">
        <v>1500000</v>
      </c>
      <c r="Z2492" s="5">
        <v>43508</v>
      </c>
      <c r="AA2492" s="1">
        <v>1550000</v>
      </c>
      <c r="AB2492" s="1" t="s">
        <v>1894</v>
      </c>
      <c r="AC2492" s="5">
        <v>43578</v>
      </c>
      <c r="AF2492" s="1">
        <v>10038</v>
      </c>
      <c r="AJ2492" s="1">
        <v>1900</v>
      </c>
      <c r="AL2492" s="1">
        <v>27</v>
      </c>
    </row>
    <row r="2493" spans="1:38" x14ac:dyDescent="0.2">
      <c r="A2493" s="2" t="str">
        <f>HYPERLINK("https://www.compass.com/listing/264-water-street-unit-4a-manhattan-ny-10038/29357480849016161/","264 Water St, Unit 4A")</f>
        <v>264 Water St, Unit 4A</v>
      </c>
      <c r="B2493" s="2" t="str">
        <f t="shared" si="391"/>
        <v>264 Water St</v>
      </c>
      <c r="C2493" s="1" t="s">
        <v>155</v>
      </c>
      <c r="D2493" s="1" t="s">
        <v>41</v>
      </c>
      <c r="E2493" s="3">
        <v>1555000</v>
      </c>
      <c r="F2493" s="1">
        <v>1180.7137433561099</v>
      </c>
      <c r="G2493" s="1">
        <v>5</v>
      </c>
      <c r="H2493" s="1">
        <v>2</v>
      </c>
      <c r="I2493" s="1">
        <v>2</v>
      </c>
      <c r="J2493" s="1">
        <v>2</v>
      </c>
      <c r="K2493" s="1">
        <v>2</v>
      </c>
      <c r="M2493" s="4">
        <v>1317</v>
      </c>
      <c r="N2493" s="1">
        <v>936.59</v>
      </c>
      <c r="O2493" s="1">
        <v>2315.59</v>
      </c>
      <c r="P2493" s="1">
        <v>1379</v>
      </c>
      <c r="Q2493" s="1" t="s">
        <v>42</v>
      </c>
      <c r="S2493" s="1" t="s">
        <v>42</v>
      </c>
      <c r="T2493" s="1" t="s">
        <v>203</v>
      </c>
      <c r="U2493" s="1">
        <v>192</v>
      </c>
      <c r="V2493" s="5">
        <v>43115</v>
      </c>
      <c r="W2493" s="5">
        <v>42919</v>
      </c>
      <c r="X2493" s="1">
        <v>1749999</v>
      </c>
      <c r="Y2493" s="1">
        <v>1629000</v>
      </c>
      <c r="AA2493" s="1">
        <v>1555000</v>
      </c>
      <c r="AB2493" s="1" t="s">
        <v>1895</v>
      </c>
      <c r="AC2493" s="5">
        <v>43111</v>
      </c>
      <c r="AF2493" s="1">
        <v>10038</v>
      </c>
      <c r="AJ2493" s="1">
        <v>1900</v>
      </c>
      <c r="AL2493" s="1">
        <v>27</v>
      </c>
    </row>
    <row r="2494" spans="1:38" x14ac:dyDescent="0.2">
      <c r="A2494" s="2" t="str">
        <f>HYPERLINK("https://www.compass.com/listing/242-broome-street-unit-14a-manhattan-ny-10002/746105184719451633/","242 Broome St, Unit 14A")</f>
        <v>242 Broome St, Unit 14A</v>
      </c>
      <c r="B2494" s="2" t="str">
        <f>HYPERLINK("https://www.compass.com/building/242-broome-essex-crossing-manhattan-ny/292776610392708181/","242 Broome, Essex Crossing")</f>
        <v>242 Broome, Essex Crossing</v>
      </c>
      <c r="C2494" s="1" t="s">
        <v>84</v>
      </c>
      <c r="D2494" s="1" t="s">
        <v>41</v>
      </c>
      <c r="E2494" s="3">
        <v>933500</v>
      </c>
      <c r="F2494" s="1">
        <v>981.59831756046196</v>
      </c>
      <c r="H2494" s="1">
        <v>1</v>
      </c>
      <c r="J2494" s="1">
        <v>1.5</v>
      </c>
      <c r="K2494" s="1">
        <v>1</v>
      </c>
      <c r="L2494" s="1">
        <v>1</v>
      </c>
      <c r="M2494" s="1">
        <v>951</v>
      </c>
      <c r="N2494" s="1">
        <v>1896</v>
      </c>
      <c r="O2494" s="1">
        <v>2459</v>
      </c>
      <c r="P2494" s="1">
        <v>563</v>
      </c>
      <c r="Q2494" s="1" t="s">
        <v>42</v>
      </c>
      <c r="S2494" s="1" t="s">
        <v>42</v>
      </c>
      <c r="T2494" s="1" t="s">
        <v>203</v>
      </c>
      <c r="AA2494" s="1">
        <v>933500</v>
      </c>
      <c r="AB2494" s="1" t="s">
        <v>1896</v>
      </c>
      <c r="AC2494" s="5">
        <v>44258</v>
      </c>
      <c r="AF2494" s="1">
        <v>10002</v>
      </c>
      <c r="AI2494" s="1" t="s">
        <v>45</v>
      </c>
      <c r="AJ2494" s="1">
        <v>2018</v>
      </c>
      <c r="AK2494" s="1" t="s">
        <v>50</v>
      </c>
      <c r="AL2494" s="1">
        <v>55</v>
      </c>
    </row>
    <row r="2495" spans="1:38" x14ac:dyDescent="0.2">
      <c r="A2495" s="2" t="str">
        <f>HYPERLINK("https://www.compass.com/listing/287-east-houston-street-unit-5c-manhattan-ny-10002/841524434711544697/","287 E Houston St, Unit 5C")</f>
        <v>287 E Houston St, Unit 5C</v>
      </c>
      <c r="B2495" s="2" t="str">
        <f t="shared" ref="B2495:B2496" si="392">HYPERLINK("https://www.compass.com/building/287-les-manhattan-ny/281886930822496357/","287/LES")</f>
        <v>287/LES</v>
      </c>
      <c r="C2495" s="1" t="s">
        <v>84</v>
      </c>
      <c r="D2495" s="1" t="s">
        <v>41</v>
      </c>
      <c r="E2495" s="3">
        <v>1087500</v>
      </c>
      <c r="F2495" s="1">
        <v>1742.7884615384601</v>
      </c>
      <c r="H2495" s="1">
        <v>1</v>
      </c>
      <c r="J2495" s="1">
        <v>1</v>
      </c>
      <c r="K2495" s="1">
        <v>1</v>
      </c>
      <c r="M2495" s="1">
        <v>624</v>
      </c>
      <c r="N2495" s="1">
        <v>626</v>
      </c>
      <c r="O2495" s="1">
        <v>1067</v>
      </c>
      <c r="P2495" s="1">
        <v>441</v>
      </c>
      <c r="Q2495" s="1" t="s">
        <v>42</v>
      </c>
      <c r="S2495" s="1" t="s">
        <v>42</v>
      </c>
      <c r="T2495" s="1" t="s">
        <v>203</v>
      </c>
      <c r="AA2495" s="1">
        <v>1087500</v>
      </c>
      <c r="AB2495" s="1" t="s">
        <v>1897</v>
      </c>
      <c r="AC2495" s="5">
        <v>43957</v>
      </c>
      <c r="AF2495" s="1">
        <v>10002</v>
      </c>
      <c r="AI2495" s="1" t="s">
        <v>45</v>
      </c>
      <c r="AJ2495" s="1">
        <v>2018</v>
      </c>
      <c r="AK2495" s="1" t="s">
        <v>140</v>
      </c>
      <c r="AL2495" s="1">
        <v>27</v>
      </c>
    </row>
    <row r="2496" spans="1:38" x14ac:dyDescent="0.2">
      <c r="A2496" s="2" t="str">
        <f>HYPERLINK("https://www.compass.com/listing/287-east-houston-street-unit-3a-manhattan-ny-10002/537710367227434569/","287 E Houston St, Unit 3A")</f>
        <v>287 E Houston St, Unit 3A</v>
      </c>
      <c r="B2496" s="2" t="str">
        <f t="shared" si="392"/>
        <v>287/LES</v>
      </c>
      <c r="C2496" s="1" t="s">
        <v>84</v>
      </c>
      <c r="D2496" s="1" t="s">
        <v>41</v>
      </c>
      <c r="E2496" s="3">
        <v>1295000</v>
      </c>
      <c r="H2496" s="1">
        <v>1</v>
      </c>
      <c r="J2496" s="1">
        <v>1</v>
      </c>
      <c r="S2496" s="1" t="s">
        <v>42</v>
      </c>
      <c r="T2496" s="1" t="s">
        <v>203</v>
      </c>
      <c r="V2496" s="5">
        <v>44248</v>
      </c>
      <c r="W2496" s="5">
        <v>43949</v>
      </c>
      <c r="X2496" s="1">
        <v>1295000</v>
      </c>
      <c r="Y2496" s="1">
        <v>1295000</v>
      </c>
      <c r="AA2496" s="1">
        <v>1295000</v>
      </c>
      <c r="AB2496" s="1" t="s">
        <v>204</v>
      </c>
      <c r="AC2496" s="5">
        <v>43993</v>
      </c>
      <c r="AF2496" s="1">
        <v>10002</v>
      </c>
      <c r="AI2496" s="1" t="s">
        <v>45</v>
      </c>
      <c r="AJ2496" s="1">
        <v>2018</v>
      </c>
      <c r="AK2496" s="1" t="s">
        <v>140</v>
      </c>
      <c r="AL2496" s="1">
        <v>27</v>
      </c>
    </row>
    <row r="2497" spans="1:38" x14ac:dyDescent="0.2">
      <c r="A2497" s="2" t="str">
        <f>HYPERLINK("https://www.compass.com/listing/150-rivington-street-unit-2b-manhattan-ny-10002/276890093275367841/","150 Rivington St, Unit 2B")</f>
        <v>150 Rivington St, Unit 2B</v>
      </c>
      <c r="B2497" s="2" t="str">
        <f>HYPERLINK("https://www.compass.com/building/150-rivington-street-manhattan-ny/282058947895000453/","150 Rivington Street")</f>
        <v>150 Rivington Street</v>
      </c>
      <c r="C2497" s="1" t="s">
        <v>84</v>
      </c>
      <c r="D2497" s="1" t="s">
        <v>41</v>
      </c>
      <c r="E2497" s="3">
        <v>1425000</v>
      </c>
      <c r="F2497" s="1">
        <v>1984.6796657381601</v>
      </c>
      <c r="H2497" s="1">
        <v>1</v>
      </c>
      <c r="J2497" s="1">
        <v>1</v>
      </c>
      <c r="K2497" s="1">
        <v>1</v>
      </c>
      <c r="M2497" s="1">
        <v>718</v>
      </c>
      <c r="N2497" s="1">
        <v>1173</v>
      </c>
      <c r="O2497" s="1">
        <v>2392</v>
      </c>
      <c r="P2497" s="1">
        <v>1219</v>
      </c>
      <c r="Q2497" s="1" t="s">
        <v>42</v>
      </c>
      <c r="S2497" s="1" t="s">
        <v>42</v>
      </c>
      <c r="T2497" s="1" t="s">
        <v>203</v>
      </c>
      <c r="AA2497" s="1">
        <v>1425000</v>
      </c>
      <c r="AB2497" s="1" t="s">
        <v>1898</v>
      </c>
      <c r="AC2497" s="5">
        <v>43594</v>
      </c>
      <c r="AF2497" s="1">
        <v>10002</v>
      </c>
      <c r="AI2497" s="1" t="s">
        <v>54</v>
      </c>
      <c r="AJ2497" s="1">
        <v>2019</v>
      </c>
      <c r="AK2497" s="1" t="s">
        <v>55</v>
      </c>
      <c r="AL2497" s="1">
        <v>45</v>
      </c>
    </row>
    <row r="2498" spans="1:38" x14ac:dyDescent="0.2">
      <c r="A2498" s="2" t="str">
        <f>HYPERLINK("https://www.compass.com/listing/264-water-street-unit-5a-manhattan-ny-10038/50874136871946801/","264 Water St, Unit 5A")</f>
        <v>264 Water St, Unit 5A</v>
      </c>
      <c r="B2498" s="2" t="str">
        <f>HYPERLINK("https://www.compass.com/building/264-water-st-manhattan-ny-10038/820452910768211061/","264 Water St")</f>
        <v>264 Water St</v>
      </c>
      <c r="C2498" s="1" t="s">
        <v>155</v>
      </c>
      <c r="D2498" s="1" t="s">
        <v>41</v>
      </c>
      <c r="E2498" s="3">
        <v>1600000</v>
      </c>
      <c r="F2498" s="1">
        <v>1214.8823082763799</v>
      </c>
      <c r="G2498" s="1">
        <v>5</v>
      </c>
      <c r="H2498" s="1">
        <v>2</v>
      </c>
      <c r="I2498" s="1">
        <v>2</v>
      </c>
      <c r="J2498" s="1">
        <v>2</v>
      </c>
      <c r="K2498" s="1">
        <v>2</v>
      </c>
      <c r="M2498" s="4">
        <v>1317</v>
      </c>
      <c r="N2498" s="1">
        <v>952</v>
      </c>
      <c r="O2498" s="1">
        <v>2340</v>
      </c>
      <c r="P2498" s="1">
        <v>1388</v>
      </c>
      <c r="Q2498" s="1" t="s">
        <v>42</v>
      </c>
      <c r="S2498" s="1" t="s">
        <v>42</v>
      </c>
      <c r="T2498" s="1" t="s">
        <v>203</v>
      </c>
      <c r="U2498" s="1">
        <v>179</v>
      </c>
      <c r="V2498" s="5">
        <v>43030</v>
      </c>
      <c r="W2498" s="5">
        <v>42760</v>
      </c>
      <c r="X2498" s="1">
        <v>1950000</v>
      </c>
      <c r="Y2498" s="1">
        <v>1649000</v>
      </c>
      <c r="AA2498" s="1">
        <v>1600000</v>
      </c>
      <c r="AB2498" s="1" t="s">
        <v>1899</v>
      </c>
      <c r="AC2498" s="5">
        <v>43005</v>
      </c>
      <c r="AF2498" s="1">
        <v>10038</v>
      </c>
      <c r="AJ2498" s="1">
        <v>1900</v>
      </c>
      <c r="AK2498" s="1" t="s">
        <v>61</v>
      </c>
      <c r="AL2498" s="1">
        <v>27</v>
      </c>
    </row>
    <row r="2499" spans="1:38" x14ac:dyDescent="0.2">
      <c r="A2499" s="2" t="str">
        <f>HYPERLINK("https://www.compass.com/listing/287-east-houston-street-unit-7a-manhattan-ny-10002/841514642555709705/","287 E Houston St, Unit 7A")</f>
        <v>287 E Houston St, Unit 7A</v>
      </c>
      <c r="B2499" s="2" t="str">
        <f t="shared" ref="B2499:B2502" si="393">HYPERLINK("https://www.compass.com/building/287-les-manhattan-ny/281886930822496357/","287/LES")</f>
        <v>287/LES</v>
      </c>
      <c r="C2499" s="1" t="s">
        <v>84</v>
      </c>
      <c r="D2499" s="1" t="s">
        <v>41</v>
      </c>
      <c r="E2499" s="3">
        <v>2578000</v>
      </c>
      <c r="F2499" s="1">
        <v>1860.02886002886</v>
      </c>
      <c r="H2499" s="1">
        <v>2</v>
      </c>
      <c r="J2499" s="1">
        <v>2</v>
      </c>
      <c r="K2499" s="1">
        <v>2</v>
      </c>
      <c r="M2499" s="4">
        <v>1386</v>
      </c>
      <c r="N2499" s="1">
        <v>1399</v>
      </c>
      <c r="O2499" s="1">
        <v>2383</v>
      </c>
      <c r="P2499" s="1">
        <v>984</v>
      </c>
      <c r="Q2499" s="1" t="s">
        <v>42</v>
      </c>
      <c r="S2499" s="1" t="s">
        <v>42</v>
      </c>
      <c r="T2499" s="1" t="s">
        <v>203</v>
      </c>
      <c r="AA2499" s="1">
        <v>2578000</v>
      </c>
      <c r="AB2499" s="1" t="s">
        <v>1900</v>
      </c>
      <c r="AC2499" s="5">
        <v>43978</v>
      </c>
      <c r="AF2499" s="1">
        <v>10002</v>
      </c>
      <c r="AI2499" s="1" t="s">
        <v>45</v>
      </c>
      <c r="AJ2499" s="1">
        <v>2018</v>
      </c>
      <c r="AK2499" s="1" t="s">
        <v>140</v>
      </c>
      <c r="AL2499" s="1">
        <v>27</v>
      </c>
    </row>
    <row r="2500" spans="1:38" x14ac:dyDescent="0.2">
      <c r="A2500" s="2" t="str">
        <f>HYPERLINK("https://www.compass.com/listing/287-east-houston-street-unit-5c-manhattan-ny-10002/246239094793883057/","287 E Houston St, Unit 5C")</f>
        <v>287 E Houston St, Unit 5C</v>
      </c>
      <c r="B2500" s="2" t="str">
        <f t="shared" si="393"/>
        <v>287/LES</v>
      </c>
      <c r="C2500" s="1" t="s">
        <v>84</v>
      </c>
      <c r="D2500" s="1" t="s">
        <v>41</v>
      </c>
      <c r="E2500" s="3">
        <v>1087500</v>
      </c>
      <c r="F2500" s="1">
        <v>1742.7884615384601</v>
      </c>
      <c r="G2500" s="1">
        <v>3</v>
      </c>
      <c r="H2500" s="1">
        <v>1</v>
      </c>
      <c r="I2500" s="1">
        <v>1</v>
      </c>
      <c r="J2500" s="1">
        <v>1</v>
      </c>
      <c r="K2500" s="1">
        <v>1</v>
      </c>
      <c r="M2500" s="1">
        <v>624</v>
      </c>
      <c r="N2500" s="1">
        <v>626</v>
      </c>
      <c r="O2500" s="1">
        <v>1067</v>
      </c>
      <c r="P2500" s="1">
        <v>441</v>
      </c>
      <c r="Q2500" s="1" t="s">
        <v>42</v>
      </c>
      <c r="S2500" s="1" t="s">
        <v>42</v>
      </c>
      <c r="T2500" s="1" t="s">
        <v>203</v>
      </c>
      <c r="U2500" s="1">
        <v>149</v>
      </c>
      <c r="V2500" s="5">
        <v>44072</v>
      </c>
      <c r="W2500" s="5">
        <v>43591</v>
      </c>
      <c r="X2500" s="1">
        <v>1195000</v>
      </c>
      <c r="AB2500" s="1" t="s">
        <v>204</v>
      </c>
      <c r="AF2500" s="1">
        <v>10002</v>
      </c>
      <c r="AI2500" s="1" t="s">
        <v>1901</v>
      </c>
      <c r="AJ2500" s="1">
        <v>2018</v>
      </c>
      <c r="AK2500" s="1" t="s">
        <v>178</v>
      </c>
      <c r="AL2500" s="1">
        <v>27</v>
      </c>
    </row>
    <row r="2501" spans="1:38" x14ac:dyDescent="0.2">
      <c r="A2501" s="2" t="str">
        <f>HYPERLINK("https://www.compass.com/listing/287-east-houston-street-unit-4d-manhattan-ny-10002/29669370166785697/","287 E Houston St, Unit 4D")</f>
        <v>287 E Houston St, Unit 4D</v>
      </c>
      <c r="B2501" s="2" t="str">
        <f t="shared" si="393"/>
        <v>287/LES</v>
      </c>
      <c r="C2501" s="1" t="s">
        <v>84</v>
      </c>
      <c r="D2501" s="1" t="s">
        <v>41</v>
      </c>
      <c r="E2501" s="3">
        <v>1180000</v>
      </c>
      <c r="F2501" s="1">
        <v>1891.02564102564</v>
      </c>
      <c r="G2501" s="1">
        <v>3</v>
      </c>
      <c r="H2501" s="1">
        <v>1</v>
      </c>
      <c r="I2501" s="1">
        <v>1</v>
      </c>
      <c r="J2501" s="1">
        <v>1</v>
      </c>
      <c r="K2501" s="1">
        <v>1</v>
      </c>
      <c r="M2501" s="1">
        <v>624</v>
      </c>
      <c r="N2501" s="1">
        <v>1001</v>
      </c>
      <c r="O2501" s="1">
        <v>1592</v>
      </c>
      <c r="P2501" s="1">
        <v>591</v>
      </c>
      <c r="Q2501" s="1" t="s">
        <v>42</v>
      </c>
      <c r="S2501" s="1" t="s">
        <v>42</v>
      </c>
      <c r="T2501" s="1" t="s">
        <v>203</v>
      </c>
      <c r="U2501" s="1">
        <v>234</v>
      </c>
      <c r="V2501" s="5">
        <v>43637</v>
      </c>
      <c r="W2501" s="5">
        <v>42623</v>
      </c>
      <c r="X2501" s="1">
        <v>1180000</v>
      </c>
      <c r="Y2501" s="1">
        <v>1180000</v>
      </c>
      <c r="Z2501" s="5">
        <v>42860</v>
      </c>
      <c r="AA2501" s="1">
        <v>1180000</v>
      </c>
      <c r="AB2501" s="1" t="s">
        <v>204</v>
      </c>
      <c r="AC2501" s="5">
        <v>43561</v>
      </c>
      <c r="AF2501" s="1">
        <v>10002</v>
      </c>
      <c r="AI2501" s="1" t="s">
        <v>45</v>
      </c>
      <c r="AJ2501" s="1">
        <v>2018</v>
      </c>
      <c r="AK2501" s="1" t="s">
        <v>1902</v>
      </c>
      <c r="AL2501" s="1">
        <v>27</v>
      </c>
    </row>
    <row r="2502" spans="1:38" x14ac:dyDescent="0.2">
      <c r="A2502" s="2" t="str">
        <f>HYPERLINK("https://www.compass.com/listing/287-east-houston-street-unit-6c-manhattan-ny-10002/801635227059545425/","287 E Houston St, Unit 6C")</f>
        <v>287 E Houston St, Unit 6C</v>
      </c>
      <c r="B2502" s="2" t="str">
        <f t="shared" si="393"/>
        <v>287/LES</v>
      </c>
      <c r="C2502" s="1" t="s">
        <v>84</v>
      </c>
      <c r="D2502" s="1" t="s">
        <v>41</v>
      </c>
      <c r="E2502" s="3">
        <v>1125000</v>
      </c>
      <c r="F2502" s="1">
        <v>1802.88461538461</v>
      </c>
      <c r="G2502" s="1">
        <v>3</v>
      </c>
      <c r="H2502" s="1">
        <v>1</v>
      </c>
      <c r="I2502" s="1">
        <v>1</v>
      </c>
      <c r="J2502" s="1">
        <v>1</v>
      </c>
      <c r="K2502" s="1">
        <v>1</v>
      </c>
      <c r="M2502" s="1">
        <v>624</v>
      </c>
      <c r="N2502" s="1">
        <v>629</v>
      </c>
      <c r="O2502" s="1">
        <v>1071</v>
      </c>
      <c r="P2502" s="1">
        <v>442</v>
      </c>
      <c r="Q2502" s="1" t="s">
        <v>42</v>
      </c>
      <c r="S2502" s="1" t="s">
        <v>42</v>
      </c>
      <c r="T2502" s="1" t="s">
        <v>203</v>
      </c>
      <c r="V2502" s="5">
        <v>44288</v>
      </c>
      <c r="W2502" s="5">
        <v>43543</v>
      </c>
      <c r="X2502" s="1">
        <v>1265000</v>
      </c>
      <c r="Y2502" s="1">
        <v>1265000</v>
      </c>
      <c r="AA2502" s="1">
        <v>1125000</v>
      </c>
      <c r="AB2502" s="1" t="s">
        <v>1903</v>
      </c>
      <c r="AC2502" s="5">
        <v>44386</v>
      </c>
      <c r="AF2502" s="1">
        <v>10002</v>
      </c>
      <c r="AI2502" s="1" t="s">
        <v>45</v>
      </c>
      <c r="AJ2502" s="1">
        <v>2018</v>
      </c>
      <c r="AK2502" s="1" t="s">
        <v>178</v>
      </c>
      <c r="AL2502" s="1">
        <v>27</v>
      </c>
    </row>
    <row r="2503" spans="1:38" x14ac:dyDescent="0.2">
      <c r="A2503" s="2" t="str">
        <f>HYPERLINK("https://www.compass.com/listing/25-park-row-unit-33b-manhattan-ny-10038/662789948908757929/","25 Park Row, Unit 33B")</f>
        <v>25 Park Row, Unit 33B</v>
      </c>
      <c r="B2503" s="2" t="str">
        <f t="shared" ref="B2503:B2508" si="394">HYPERLINK("https://www.compass.com/building/25-park-row-manhattan-ny-10038/292920743539264837/","25 Park Row")</f>
        <v>25 Park Row</v>
      </c>
      <c r="C2503" s="1" t="s">
        <v>155</v>
      </c>
      <c r="D2503" s="1" t="s">
        <v>41</v>
      </c>
      <c r="E2503" s="3">
        <v>2300000</v>
      </c>
      <c r="F2503" s="1">
        <v>2059.08683974932</v>
      </c>
      <c r="M2503" s="4">
        <v>1117</v>
      </c>
      <c r="Q2503" s="1" t="s">
        <v>42</v>
      </c>
      <c r="S2503" s="1" t="s">
        <v>42</v>
      </c>
      <c r="T2503" s="1" t="s">
        <v>203</v>
      </c>
      <c r="AA2503" s="1">
        <v>2300000</v>
      </c>
      <c r="AB2503" s="1" t="s">
        <v>1904</v>
      </c>
      <c r="AC2503" s="5">
        <v>44154</v>
      </c>
      <c r="AF2503" s="1">
        <v>10038</v>
      </c>
      <c r="AI2503" s="1" t="s">
        <v>58</v>
      </c>
      <c r="AJ2503" s="1">
        <v>2019</v>
      </c>
      <c r="AK2503" s="1" t="s">
        <v>55</v>
      </c>
      <c r="AL2503" s="1">
        <v>110</v>
      </c>
    </row>
    <row r="2504" spans="1:38" x14ac:dyDescent="0.2">
      <c r="A2504" s="2" t="str">
        <f>HYPERLINK("https://www.compass.com/listing/25-park-row-unit-10b-manhattan-ny-10038/841496308597978241/","25 Park Row, Unit 10B")</f>
        <v>25 Park Row, Unit 10B</v>
      </c>
      <c r="B2504" s="2" t="str">
        <f t="shared" si="394"/>
        <v>25 Park Row</v>
      </c>
      <c r="C2504" s="1" t="s">
        <v>155</v>
      </c>
      <c r="D2504" s="1" t="s">
        <v>41</v>
      </c>
      <c r="E2504" s="3">
        <v>1850000</v>
      </c>
      <c r="F2504" s="1">
        <v>1848.1518481518401</v>
      </c>
      <c r="H2504" s="1">
        <v>1</v>
      </c>
      <c r="J2504" s="1">
        <v>1.5</v>
      </c>
      <c r="K2504" s="1">
        <v>1</v>
      </c>
      <c r="L2504" s="1">
        <v>1</v>
      </c>
      <c r="M2504" s="4">
        <v>1001</v>
      </c>
      <c r="N2504" s="1">
        <v>1227.07</v>
      </c>
      <c r="O2504" s="1">
        <v>2454.3000000000002</v>
      </c>
      <c r="P2504" s="1">
        <v>1227.25</v>
      </c>
      <c r="Q2504" s="1" t="s">
        <v>42</v>
      </c>
      <c r="S2504" s="1" t="s">
        <v>42</v>
      </c>
      <c r="T2504" s="1" t="s">
        <v>203</v>
      </c>
      <c r="AA2504" s="1">
        <v>1850000</v>
      </c>
      <c r="AB2504" s="1" t="s">
        <v>1905</v>
      </c>
      <c r="AC2504" s="5">
        <v>44042</v>
      </c>
      <c r="AF2504" s="1">
        <v>10038</v>
      </c>
      <c r="AI2504" s="1" t="s">
        <v>58</v>
      </c>
      <c r="AJ2504" s="1">
        <v>2019</v>
      </c>
      <c r="AK2504" s="1" t="s">
        <v>55</v>
      </c>
      <c r="AL2504" s="1">
        <v>110</v>
      </c>
    </row>
    <row r="2505" spans="1:38" x14ac:dyDescent="0.2">
      <c r="A2505" s="2" t="str">
        <f>HYPERLINK("https://www.compass.com/listing/25-park-row-unit-8b-manhattan-ny-10038/841496314671361873/","25 Park Row, Unit 8B")</f>
        <v>25 Park Row, Unit 8B</v>
      </c>
      <c r="B2505" s="2" t="str">
        <f t="shared" si="394"/>
        <v>25 Park Row</v>
      </c>
      <c r="C2505" s="1" t="s">
        <v>155</v>
      </c>
      <c r="D2505" s="1" t="s">
        <v>41</v>
      </c>
      <c r="E2505" s="3">
        <v>1820000</v>
      </c>
      <c r="F2505" s="1">
        <v>1818.1818181818101</v>
      </c>
      <c r="H2505" s="1">
        <v>1</v>
      </c>
      <c r="J2505" s="1">
        <v>1.5</v>
      </c>
      <c r="K2505" s="1">
        <v>1</v>
      </c>
      <c r="L2505" s="1">
        <v>1</v>
      </c>
      <c r="M2505" s="4">
        <v>1001</v>
      </c>
      <c r="N2505" s="1">
        <v>1215.0999999999999</v>
      </c>
      <c r="O2505" s="1">
        <v>2430.3599999999901</v>
      </c>
      <c r="P2505" s="1">
        <v>1215.25</v>
      </c>
      <c r="Q2505" s="1" t="s">
        <v>42</v>
      </c>
      <c r="S2505" s="1" t="s">
        <v>42</v>
      </c>
      <c r="T2505" s="1" t="s">
        <v>203</v>
      </c>
      <c r="AA2505" s="1">
        <v>1820000</v>
      </c>
      <c r="AB2505" s="1" t="s">
        <v>1906</v>
      </c>
      <c r="AC2505" s="5">
        <v>44040</v>
      </c>
      <c r="AF2505" s="1">
        <v>10038</v>
      </c>
      <c r="AI2505" s="1" t="s">
        <v>58</v>
      </c>
      <c r="AJ2505" s="1">
        <v>2019</v>
      </c>
      <c r="AK2505" s="1" t="s">
        <v>55</v>
      </c>
      <c r="AL2505" s="1">
        <v>110</v>
      </c>
    </row>
    <row r="2506" spans="1:38" x14ac:dyDescent="0.2">
      <c r="A2506" s="2" t="str">
        <f>HYPERLINK("https://www.compass.com/listing/25-park-row-unit-7d-manhattan-ny-10038/841496314772806105/","25 Park Row, Unit 7D")</f>
        <v>25 Park Row, Unit 7D</v>
      </c>
      <c r="B2506" s="2" t="str">
        <f t="shared" si="394"/>
        <v>25 Park Row</v>
      </c>
      <c r="C2506" s="1" t="s">
        <v>155</v>
      </c>
      <c r="D2506" s="1" t="s">
        <v>41</v>
      </c>
      <c r="E2506" s="3">
        <v>1617750</v>
      </c>
      <c r="F2506" s="1">
        <v>1768.0327868852401</v>
      </c>
      <c r="H2506" s="1">
        <v>1</v>
      </c>
      <c r="J2506" s="1">
        <v>1.5</v>
      </c>
      <c r="K2506" s="1">
        <v>1</v>
      </c>
      <c r="L2506" s="1">
        <v>1</v>
      </c>
      <c r="M2506" s="1">
        <v>915</v>
      </c>
      <c r="N2506" s="1">
        <v>1105.23</v>
      </c>
      <c r="O2506" s="1">
        <v>2210.61</v>
      </c>
      <c r="P2506" s="1">
        <v>1105.4166666666599</v>
      </c>
      <c r="Q2506" s="1" t="s">
        <v>42</v>
      </c>
      <c r="S2506" s="1" t="s">
        <v>42</v>
      </c>
      <c r="T2506" s="1" t="s">
        <v>203</v>
      </c>
      <c r="AA2506" s="1">
        <v>1617750</v>
      </c>
      <c r="AB2506" s="1" t="s">
        <v>1907</v>
      </c>
      <c r="AC2506" s="5">
        <v>44141</v>
      </c>
      <c r="AF2506" s="1">
        <v>10038</v>
      </c>
      <c r="AI2506" s="1" t="s">
        <v>58</v>
      </c>
      <c r="AJ2506" s="1">
        <v>2019</v>
      </c>
      <c r="AK2506" s="1" t="s">
        <v>55</v>
      </c>
      <c r="AL2506" s="1">
        <v>110</v>
      </c>
    </row>
    <row r="2507" spans="1:38" x14ac:dyDescent="0.2">
      <c r="A2507" s="2" t="str">
        <f>HYPERLINK("https://www.compass.com/listing/25-park-row-unit-7b-manhattan-ny-10038/841538309293278329/","25 Park Row, Unit 7B")</f>
        <v>25 Park Row, Unit 7B</v>
      </c>
      <c r="B2507" s="2" t="str">
        <f t="shared" si="394"/>
        <v>25 Park Row</v>
      </c>
      <c r="C2507" s="1" t="s">
        <v>155</v>
      </c>
      <c r="D2507" s="1" t="s">
        <v>41</v>
      </c>
      <c r="E2507" s="3">
        <v>1865000</v>
      </c>
      <c r="F2507" s="1">
        <v>1863.13686313686</v>
      </c>
      <c r="H2507" s="1">
        <v>1</v>
      </c>
      <c r="J2507" s="1">
        <v>1.5</v>
      </c>
      <c r="K2507" s="1">
        <v>1</v>
      </c>
      <c r="L2507" s="1">
        <v>1</v>
      </c>
      <c r="M2507" s="4">
        <v>1001</v>
      </c>
      <c r="N2507" s="1">
        <v>1209.1099999999999</v>
      </c>
      <c r="O2507" s="1">
        <v>2418.38</v>
      </c>
      <c r="P2507" s="1">
        <v>1209.25</v>
      </c>
      <c r="Q2507" s="1" t="s">
        <v>42</v>
      </c>
      <c r="S2507" s="1" t="s">
        <v>42</v>
      </c>
      <c r="T2507" s="1" t="s">
        <v>203</v>
      </c>
      <c r="AA2507" s="1">
        <v>1865000</v>
      </c>
      <c r="AB2507" s="1" t="s">
        <v>1908</v>
      </c>
      <c r="AC2507" s="5">
        <v>44040</v>
      </c>
      <c r="AF2507" s="1">
        <v>10038</v>
      </c>
      <c r="AI2507" s="1" t="s">
        <v>58</v>
      </c>
      <c r="AJ2507" s="1">
        <v>2019</v>
      </c>
      <c r="AK2507" s="1" t="s">
        <v>55</v>
      </c>
      <c r="AL2507" s="1">
        <v>110</v>
      </c>
    </row>
    <row r="2508" spans="1:38" x14ac:dyDescent="0.2">
      <c r="A2508" s="2" t="str">
        <f>HYPERLINK("https://www.compass.com/listing/25-park-row-unit-9b-manhattan-ny-10038/841541849487198321/","25 Park Row, Unit 9B")</f>
        <v>25 Park Row, Unit 9B</v>
      </c>
      <c r="B2508" s="2" t="str">
        <f t="shared" si="394"/>
        <v>25 Park Row</v>
      </c>
      <c r="C2508" s="1" t="s">
        <v>155</v>
      </c>
      <c r="D2508" s="1" t="s">
        <v>41</v>
      </c>
      <c r="E2508" s="3">
        <v>1920488</v>
      </c>
      <c r="F2508" s="1">
        <v>1918.5689310689299</v>
      </c>
      <c r="H2508" s="1">
        <v>1</v>
      </c>
      <c r="J2508" s="1">
        <v>1.5</v>
      </c>
      <c r="K2508" s="1">
        <v>1</v>
      </c>
      <c r="L2508" s="1">
        <v>1</v>
      </c>
      <c r="M2508" s="4">
        <v>1001</v>
      </c>
      <c r="N2508" s="1">
        <v>1221.08</v>
      </c>
      <c r="O2508" s="1">
        <v>2442.33</v>
      </c>
      <c r="P2508" s="1">
        <v>1221.25</v>
      </c>
      <c r="Q2508" s="1" t="s">
        <v>42</v>
      </c>
      <c r="S2508" s="1" t="s">
        <v>42</v>
      </c>
      <c r="T2508" s="1" t="s">
        <v>203</v>
      </c>
      <c r="AB2508" s="1" t="s">
        <v>44</v>
      </c>
      <c r="AF2508" s="1">
        <v>10038</v>
      </c>
      <c r="AI2508" s="1" t="s">
        <v>58</v>
      </c>
      <c r="AJ2508" s="1">
        <v>2019</v>
      </c>
      <c r="AK2508" s="1" t="s">
        <v>55</v>
      </c>
      <c r="AL2508" s="1">
        <v>110</v>
      </c>
    </row>
    <row r="2509" spans="1:38" x14ac:dyDescent="0.2">
      <c r="A2509" s="2" t="str">
        <f>HYPERLINK("https://www.compass.com/listing/287-east-houston-street-unit-4b-manhattan-ny-10002/211282600784908689/","287 E Houston St, Unit 4B")</f>
        <v>287 E Houston St, Unit 4B</v>
      </c>
      <c r="B2509" s="2" t="str">
        <f t="shared" ref="B2509:B2512" si="395">HYPERLINK("https://www.compass.com/building/287-les-manhattan-ny/281886930822496357/","287/LES")</f>
        <v>287/LES</v>
      </c>
      <c r="C2509" s="1" t="s">
        <v>84</v>
      </c>
      <c r="D2509" s="1" t="s">
        <v>41</v>
      </c>
      <c r="E2509" s="3">
        <v>1300000</v>
      </c>
      <c r="F2509" s="1">
        <v>1733.3333333333301</v>
      </c>
      <c r="G2509" s="1">
        <v>3</v>
      </c>
      <c r="H2509" s="1">
        <v>1</v>
      </c>
      <c r="I2509" s="1">
        <v>1</v>
      </c>
      <c r="J2509" s="1">
        <v>1</v>
      </c>
      <c r="K2509" s="1">
        <v>1</v>
      </c>
      <c r="M2509" s="1">
        <v>750</v>
      </c>
      <c r="N2509" s="1">
        <v>748</v>
      </c>
      <c r="O2509" s="1">
        <v>1274</v>
      </c>
      <c r="P2509" s="1">
        <v>526</v>
      </c>
      <c r="Q2509" s="1" t="s">
        <v>42</v>
      </c>
      <c r="S2509" s="1" t="s">
        <v>42</v>
      </c>
      <c r="T2509" s="1" t="s">
        <v>203</v>
      </c>
      <c r="U2509" s="1">
        <v>338</v>
      </c>
      <c r="V2509" s="5">
        <v>43935</v>
      </c>
      <c r="W2509" s="5">
        <v>43544</v>
      </c>
      <c r="X2509" s="1">
        <v>1450000</v>
      </c>
      <c r="Y2509" s="1">
        <v>1375000</v>
      </c>
      <c r="Z2509" s="5">
        <v>43882</v>
      </c>
      <c r="AA2509" s="1">
        <v>1300000</v>
      </c>
      <c r="AB2509" s="1" t="s">
        <v>1909</v>
      </c>
      <c r="AC2509" s="5">
        <v>43889</v>
      </c>
      <c r="AF2509" s="1">
        <v>10002</v>
      </c>
      <c r="AI2509" s="1" t="s">
        <v>45</v>
      </c>
      <c r="AJ2509" s="1">
        <v>2018</v>
      </c>
      <c r="AK2509" s="1" t="s">
        <v>178</v>
      </c>
      <c r="AL2509" s="1">
        <v>27</v>
      </c>
    </row>
    <row r="2510" spans="1:38" x14ac:dyDescent="0.2">
      <c r="A2510" s="2" t="str">
        <f>HYPERLINK("https://www.compass.com/listing/287-east-houston-street-unit-3b-manhattan-ny-10002/29514947268468305/","287 E Houston St, Unit 3B")</f>
        <v>287 E Houston St, Unit 3B</v>
      </c>
      <c r="B2510" s="2" t="str">
        <f t="shared" si="395"/>
        <v>287/LES</v>
      </c>
      <c r="C2510" s="1" t="s">
        <v>84</v>
      </c>
      <c r="D2510" s="1" t="s">
        <v>41</v>
      </c>
      <c r="E2510" s="3">
        <v>1215000</v>
      </c>
      <c r="F2510" s="1">
        <v>1620</v>
      </c>
      <c r="G2510" s="1">
        <v>3</v>
      </c>
      <c r="H2510" s="1">
        <v>1</v>
      </c>
      <c r="I2510" s="1">
        <v>1</v>
      </c>
      <c r="J2510" s="1">
        <v>1</v>
      </c>
      <c r="K2510" s="1">
        <v>1</v>
      </c>
      <c r="M2510" s="1">
        <v>750</v>
      </c>
      <c r="N2510" s="1">
        <v>746</v>
      </c>
      <c r="O2510" s="1">
        <v>1270</v>
      </c>
      <c r="P2510" s="1">
        <v>524</v>
      </c>
      <c r="Q2510" s="1" t="s">
        <v>42</v>
      </c>
      <c r="S2510" s="1" t="s">
        <v>42</v>
      </c>
      <c r="T2510" s="1" t="s">
        <v>203</v>
      </c>
      <c r="U2510" s="1">
        <v>397</v>
      </c>
      <c r="V2510" s="5">
        <v>43858</v>
      </c>
      <c r="W2510" s="5">
        <v>43140</v>
      </c>
      <c r="X2510" s="1">
        <v>1395000</v>
      </c>
      <c r="Y2510" s="1">
        <v>1295000</v>
      </c>
      <c r="Z2510" s="5">
        <v>43823</v>
      </c>
      <c r="AA2510" s="1">
        <v>1215000</v>
      </c>
      <c r="AB2510" s="1" t="s">
        <v>1910</v>
      </c>
      <c r="AC2510" s="5">
        <v>43829</v>
      </c>
      <c r="AF2510" s="1">
        <v>10002</v>
      </c>
      <c r="AI2510" s="1" t="s">
        <v>45</v>
      </c>
      <c r="AJ2510" s="1">
        <v>2018</v>
      </c>
      <c r="AK2510" s="1" t="s">
        <v>1902</v>
      </c>
      <c r="AL2510" s="1">
        <v>27</v>
      </c>
    </row>
    <row r="2511" spans="1:38" x14ac:dyDescent="0.2">
      <c r="A2511" s="2" t="str">
        <f>HYPERLINK("https://www.compass.com/listing/287-east-houston-street-unit-2a-manhattan-ny-10002/29514951571892753/","287 E Houston St, Unit 2A")</f>
        <v>287 E Houston St, Unit 2A</v>
      </c>
      <c r="B2511" s="2" t="str">
        <f t="shared" si="395"/>
        <v>287/LES</v>
      </c>
      <c r="C2511" s="1" t="s">
        <v>84</v>
      </c>
      <c r="D2511" s="1" t="s">
        <v>41</v>
      </c>
      <c r="E2511" s="3">
        <v>1221900</v>
      </c>
      <c r="F2511" s="1">
        <v>1720.98591549295</v>
      </c>
      <c r="G2511" s="1">
        <v>3</v>
      </c>
      <c r="H2511" s="1">
        <v>1</v>
      </c>
      <c r="I2511" s="1">
        <v>1</v>
      </c>
      <c r="J2511" s="1">
        <v>1</v>
      </c>
      <c r="K2511" s="1">
        <v>1</v>
      </c>
      <c r="M2511" s="1">
        <v>710</v>
      </c>
      <c r="N2511" s="1">
        <v>671</v>
      </c>
      <c r="O2511" s="1">
        <v>1331</v>
      </c>
      <c r="P2511" s="1">
        <v>660</v>
      </c>
      <c r="Q2511" s="1" t="s">
        <v>42</v>
      </c>
      <c r="S2511" s="1" t="s">
        <v>42</v>
      </c>
      <c r="T2511" s="1" t="s">
        <v>203</v>
      </c>
      <c r="V2511" s="5">
        <v>43678</v>
      </c>
      <c r="W2511" s="5">
        <v>43007</v>
      </c>
      <c r="X2511" s="1">
        <v>1225000</v>
      </c>
      <c r="Y2511" s="1">
        <v>1225000</v>
      </c>
      <c r="Z2511" s="5">
        <v>43007</v>
      </c>
      <c r="AA2511" s="1">
        <v>1221900</v>
      </c>
      <c r="AB2511" s="1" t="s">
        <v>1911</v>
      </c>
      <c r="AC2511" s="5">
        <v>43571</v>
      </c>
      <c r="AF2511" s="1">
        <v>10002</v>
      </c>
      <c r="AI2511" s="1" t="s">
        <v>45</v>
      </c>
      <c r="AJ2511" s="1">
        <v>2018</v>
      </c>
      <c r="AK2511" s="1" t="s">
        <v>1902</v>
      </c>
      <c r="AL2511" s="1">
        <v>27</v>
      </c>
    </row>
    <row r="2512" spans="1:38" x14ac:dyDescent="0.2">
      <c r="A2512" s="2" t="str">
        <f>HYPERLINK("https://www.compass.com/listing/287-east-houston-street-unit-4a-manhattan-ny-10002/455016586857282889/","287 E Houston St, Unit 4A")</f>
        <v>287 E Houston St, Unit 4A</v>
      </c>
      <c r="B2512" s="2" t="str">
        <f t="shared" si="395"/>
        <v>287/LES</v>
      </c>
      <c r="C2512" s="1" t="s">
        <v>84</v>
      </c>
      <c r="D2512" s="1" t="s">
        <v>41</v>
      </c>
      <c r="E2512" s="3">
        <v>1305274</v>
      </c>
      <c r="F2512" s="1">
        <v>1740.36533333333</v>
      </c>
      <c r="G2512" s="1">
        <v>3</v>
      </c>
      <c r="H2512" s="1">
        <v>1</v>
      </c>
      <c r="I2512" s="1">
        <v>1</v>
      </c>
      <c r="J2512" s="1">
        <v>1</v>
      </c>
      <c r="K2512" s="1">
        <v>1</v>
      </c>
      <c r="M2512" s="1">
        <v>750</v>
      </c>
      <c r="N2512" s="1">
        <v>688</v>
      </c>
      <c r="O2512" s="1">
        <v>1743</v>
      </c>
      <c r="P2512" s="1">
        <v>1055</v>
      </c>
      <c r="Q2512" s="1" t="s">
        <v>42</v>
      </c>
      <c r="S2512" s="1" t="s">
        <v>42</v>
      </c>
      <c r="T2512" s="1" t="s">
        <v>203</v>
      </c>
      <c r="U2512" s="1">
        <v>207</v>
      </c>
      <c r="V2512" s="5">
        <v>44274</v>
      </c>
      <c r="W2512" s="5">
        <v>43879</v>
      </c>
      <c r="X2512" s="1">
        <v>1375000</v>
      </c>
      <c r="Y2512" s="1">
        <v>1375000</v>
      </c>
      <c r="Z2512" s="5">
        <v>44212</v>
      </c>
      <c r="AA2512" s="1">
        <v>1305274</v>
      </c>
      <c r="AB2512" s="1" t="s">
        <v>1912</v>
      </c>
      <c r="AC2512" s="5">
        <v>44259</v>
      </c>
      <c r="AF2512" s="1">
        <v>10002</v>
      </c>
      <c r="AI2512" s="1" t="s">
        <v>45</v>
      </c>
      <c r="AJ2512" s="1">
        <v>2018</v>
      </c>
      <c r="AK2512" s="1" t="s">
        <v>178</v>
      </c>
      <c r="AL2512" s="1">
        <v>27</v>
      </c>
    </row>
    <row r="2513" spans="1:38" x14ac:dyDescent="0.2">
      <c r="A2513" s="2" t="str">
        <f>HYPERLINK("https://www.compass.com/listing/25-park-row-unit-20a-manhattan-ny-10038/841496300200981097/","25 Park Row, Unit 20A")</f>
        <v>25 Park Row, Unit 20A</v>
      </c>
      <c r="B2513" s="2" t="str">
        <f t="shared" ref="B2513:B2524" si="396">HYPERLINK("https://www.compass.com/building/25-park-row-manhattan-ny-10038/292920743539264837/","25 Park Row")</f>
        <v>25 Park Row</v>
      </c>
      <c r="C2513" s="1" t="s">
        <v>155</v>
      </c>
      <c r="D2513" s="1" t="s">
        <v>41</v>
      </c>
      <c r="E2513" s="3">
        <v>2850000</v>
      </c>
      <c r="F2513" s="1">
        <v>1829.26829268292</v>
      </c>
      <c r="H2513" s="1">
        <v>2</v>
      </c>
      <c r="J2513" s="1">
        <v>2.5</v>
      </c>
      <c r="K2513" s="1">
        <v>2</v>
      </c>
      <c r="L2513" s="1">
        <v>1</v>
      </c>
      <c r="M2513" s="4">
        <v>1558</v>
      </c>
      <c r="N2513" s="1">
        <v>1993.71</v>
      </c>
      <c r="O2513" s="1">
        <v>3987.69</v>
      </c>
      <c r="P2513" s="1">
        <v>1994</v>
      </c>
      <c r="Q2513" s="1" t="s">
        <v>42</v>
      </c>
      <c r="S2513" s="1" t="s">
        <v>42</v>
      </c>
      <c r="T2513" s="1" t="s">
        <v>203</v>
      </c>
      <c r="AA2513" s="1">
        <v>2850000</v>
      </c>
      <c r="AB2513" s="1" t="s">
        <v>1913</v>
      </c>
      <c r="AC2513" s="5">
        <v>44368</v>
      </c>
      <c r="AF2513" s="1">
        <v>10038</v>
      </c>
      <c r="AI2513" s="1" t="s">
        <v>58</v>
      </c>
      <c r="AJ2513" s="1">
        <v>2019</v>
      </c>
      <c r="AK2513" s="1" t="s">
        <v>55</v>
      </c>
      <c r="AL2513" s="1">
        <v>110</v>
      </c>
    </row>
    <row r="2514" spans="1:38" x14ac:dyDescent="0.2">
      <c r="A2514" s="2" t="str">
        <f>HYPERLINK("https://www.compass.com/listing/25-park-row-unit-9a-manhattan-ny-10038/841496303028269913/","25 Park Row, Unit 9A")</f>
        <v>25 Park Row, Unit 9A</v>
      </c>
      <c r="B2514" s="2" t="str">
        <f t="shared" si="396"/>
        <v>25 Park Row</v>
      </c>
      <c r="C2514" s="1" t="s">
        <v>155</v>
      </c>
      <c r="D2514" s="1" t="s">
        <v>41</v>
      </c>
      <c r="E2514" s="3">
        <v>2550000</v>
      </c>
      <c r="F2514" s="1">
        <v>1659.0761223162001</v>
      </c>
      <c r="H2514" s="1">
        <v>2</v>
      </c>
      <c r="J2514" s="1">
        <v>2.5</v>
      </c>
      <c r="K2514" s="1">
        <v>2</v>
      </c>
      <c r="L2514" s="1">
        <v>1</v>
      </c>
      <c r="M2514" s="4">
        <v>1537</v>
      </c>
      <c r="N2514" s="1">
        <v>1875.93</v>
      </c>
      <c r="O2514" s="1">
        <v>3751.11</v>
      </c>
      <c r="P2514" s="1">
        <v>1875.1666666666599</v>
      </c>
      <c r="Q2514" s="1" t="s">
        <v>42</v>
      </c>
      <c r="S2514" s="1" t="s">
        <v>42</v>
      </c>
      <c r="T2514" s="1" t="s">
        <v>203</v>
      </c>
      <c r="AA2514" s="1">
        <v>2550000</v>
      </c>
      <c r="AB2514" s="1" t="s">
        <v>1914</v>
      </c>
      <c r="AC2514" s="5">
        <v>44245</v>
      </c>
      <c r="AF2514" s="1">
        <v>10038</v>
      </c>
      <c r="AI2514" s="1" t="s">
        <v>58</v>
      </c>
      <c r="AJ2514" s="1">
        <v>2019</v>
      </c>
      <c r="AK2514" s="1" t="s">
        <v>55</v>
      </c>
      <c r="AL2514" s="1">
        <v>110</v>
      </c>
    </row>
    <row r="2515" spans="1:38" x14ac:dyDescent="0.2">
      <c r="A2515" s="2" t="str">
        <f>HYPERLINK("https://www.compass.com/listing/25-park-row-unit-10c-manhattan-ny-10038/841496308229454225/","25 Park Row, Unit 10C")</f>
        <v>25 Park Row, Unit 10C</v>
      </c>
      <c r="B2515" s="2" t="str">
        <f t="shared" si="396"/>
        <v>25 Park Row</v>
      </c>
      <c r="C2515" s="1" t="s">
        <v>155</v>
      </c>
      <c r="D2515" s="1" t="s">
        <v>41</v>
      </c>
      <c r="E2515" s="3">
        <v>2430000</v>
      </c>
      <c r="F2515" s="1">
        <v>1805.3491827637399</v>
      </c>
      <c r="H2515" s="1">
        <v>2</v>
      </c>
      <c r="J2515" s="1">
        <v>2.5</v>
      </c>
      <c r="K2515" s="1">
        <v>2</v>
      </c>
      <c r="L2515" s="1">
        <v>1</v>
      </c>
      <c r="M2515" s="4">
        <v>1346</v>
      </c>
      <c r="N2515" s="1">
        <v>1649.99</v>
      </c>
      <c r="O2515" s="1">
        <v>3300.2</v>
      </c>
      <c r="P2515" s="1">
        <v>1650.25</v>
      </c>
      <c r="Q2515" s="1" t="s">
        <v>42</v>
      </c>
      <c r="S2515" s="1" t="s">
        <v>42</v>
      </c>
      <c r="T2515" s="1" t="s">
        <v>203</v>
      </c>
      <c r="AA2515" s="1">
        <v>2430000</v>
      </c>
      <c r="AB2515" s="1" t="s">
        <v>1915</v>
      </c>
      <c r="AC2515" s="5">
        <v>44046</v>
      </c>
      <c r="AF2515" s="1">
        <v>10038</v>
      </c>
      <c r="AI2515" s="1" t="s">
        <v>58</v>
      </c>
      <c r="AJ2515" s="1">
        <v>2019</v>
      </c>
      <c r="AK2515" s="1" t="s">
        <v>55</v>
      </c>
      <c r="AL2515" s="1">
        <v>110</v>
      </c>
    </row>
    <row r="2516" spans="1:38" x14ac:dyDescent="0.2">
      <c r="A2516" s="2" t="str">
        <f>HYPERLINK("https://www.compass.com/listing/25-park-row-unit-18b-manhattan-ny-10038/841496308322229105/","25 Park Row, Unit 18B")</f>
        <v>25 Park Row, Unit 18B</v>
      </c>
      <c r="B2516" s="2" t="str">
        <f t="shared" si="396"/>
        <v>25 Park Row</v>
      </c>
      <c r="C2516" s="1" t="s">
        <v>155</v>
      </c>
      <c r="D2516" s="1" t="s">
        <v>41</v>
      </c>
      <c r="E2516" s="3">
        <v>2175000</v>
      </c>
      <c r="F2516" s="1">
        <v>1961.2263300270499</v>
      </c>
      <c r="H2516" s="1">
        <v>2</v>
      </c>
      <c r="J2516" s="1">
        <v>2</v>
      </c>
      <c r="K2516" s="1">
        <v>2</v>
      </c>
      <c r="M2516" s="4">
        <v>1109</v>
      </c>
      <c r="N2516" s="1">
        <v>1374.05</v>
      </c>
      <c r="O2516" s="1">
        <v>2748.2799999999902</v>
      </c>
      <c r="P2516" s="1">
        <v>1374.25</v>
      </c>
      <c r="Q2516" s="1" t="s">
        <v>42</v>
      </c>
      <c r="S2516" s="1" t="s">
        <v>42</v>
      </c>
      <c r="T2516" s="1" t="s">
        <v>203</v>
      </c>
      <c r="AA2516" s="1">
        <v>2175000</v>
      </c>
      <c r="AB2516" s="1" t="s">
        <v>1916</v>
      </c>
      <c r="AC2516" s="5">
        <v>44035</v>
      </c>
      <c r="AF2516" s="1">
        <v>10038</v>
      </c>
      <c r="AI2516" s="1" t="s">
        <v>58</v>
      </c>
      <c r="AJ2516" s="1">
        <v>2019</v>
      </c>
      <c r="AK2516" s="1" t="s">
        <v>55</v>
      </c>
      <c r="AL2516" s="1">
        <v>110</v>
      </c>
    </row>
    <row r="2517" spans="1:38" x14ac:dyDescent="0.2">
      <c r="A2517" s="2" t="str">
        <f>HYPERLINK("https://www.compass.com/listing/25-park-row-unit-5c-manhattan-ny-10038/841496309185671433/","25 Park Row, Unit 5C")</f>
        <v>25 Park Row, Unit 5C</v>
      </c>
      <c r="B2517" s="2" t="str">
        <f t="shared" si="396"/>
        <v>25 Park Row</v>
      </c>
      <c r="C2517" s="1" t="s">
        <v>155</v>
      </c>
      <c r="D2517" s="1" t="s">
        <v>41</v>
      </c>
      <c r="E2517" s="3">
        <v>2325000</v>
      </c>
      <c r="F2517" s="1">
        <v>1727.34026745913</v>
      </c>
      <c r="H2517" s="1">
        <v>2</v>
      </c>
      <c r="J2517" s="1">
        <v>2.5</v>
      </c>
      <c r="K2517" s="1">
        <v>2</v>
      </c>
      <c r="L2517" s="1">
        <v>1</v>
      </c>
      <c r="M2517" s="4">
        <v>1346</v>
      </c>
      <c r="N2517" s="1">
        <v>1609.74</v>
      </c>
      <c r="O2517" s="1">
        <v>3219.7</v>
      </c>
      <c r="P2517" s="1">
        <v>1610</v>
      </c>
      <c r="Q2517" s="1" t="s">
        <v>42</v>
      </c>
      <c r="S2517" s="1" t="s">
        <v>42</v>
      </c>
      <c r="T2517" s="1" t="s">
        <v>203</v>
      </c>
      <c r="AA2517" s="1">
        <v>2325000</v>
      </c>
      <c r="AB2517" s="1" t="s">
        <v>1917</v>
      </c>
      <c r="AC2517" s="5">
        <v>44195</v>
      </c>
      <c r="AF2517" s="1">
        <v>10038</v>
      </c>
      <c r="AI2517" s="1" t="s">
        <v>58</v>
      </c>
      <c r="AJ2517" s="1">
        <v>2019</v>
      </c>
      <c r="AK2517" s="1" t="s">
        <v>55</v>
      </c>
      <c r="AL2517" s="1">
        <v>110</v>
      </c>
    </row>
    <row r="2518" spans="1:38" x14ac:dyDescent="0.2">
      <c r="A2518" s="2" t="str">
        <f>HYPERLINK("https://www.compass.com/listing/25-park-row-unit-20b-manhattan-ny-10038/841517530257991249/","25 Park Row, Unit 20B")</f>
        <v>25 Park Row, Unit 20B</v>
      </c>
      <c r="B2518" s="2" t="str">
        <f t="shared" si="396"/>
        <v>25 Park Row</v>
      </c>
      <c r="C2518" s="1" t="s">
        <v>155</v>
      </c>
      <c r="D2518" s="1" t="s">
        <v>41</v>
      </c>
      <c r="E2518" s="3">
        <v>2275000</v>
      </c>
      <c r="F2518" s="1">
        <v>2051.3976555455301</v>
      </c>
      <c r="H2518" s="1">
        <v>2</v>
      </c>
      <c r="J2518" s="1">
        <v>2</v>
      </c>
      <c r="K2518" s="1">
        <v>2</v>
      </c>
      <c r="M2518" s="4">
        <v>1109</v>
      </c>
      <c r="N2518" s="1">
        <v>1382.01</v>
      </c>
      <c r="O2518" s="1">
        <v>2764.2</v>
      </c>
      <c r="P2518" s="1">
        <v>1382.1666666666599</v>
      </c>
      <c r="Q2518" s="1" t="s">
        <v>42</v>
      </c>
      <c r="S2518" s="1" t="s">
        <v>42</v>
      </c>
      <c r="T2518" s="1" t="s">
        <v>203</v>
      </c>
      <c r="AA2518" s="1">
        <v>2275000</v>
      </c>
      <c r="AB2518" s="1" t="s">
        <v>1918</v>
      </c>
      <c r="AC2518" s="5">
        <v>44043</v>
      </c>
      <c r="AF2518" s="1">
        <v>10038</v>
      </c>
      <c r="AI2518" s="1" t="s">
        <v>58</v>
      </c>
      <c r="AJ2518" s="1">
        <v>2019</v>
      </c>
      <c r="AK2518" s="1" t="s">
        <v>55</v>
      </c>
      <c r="AL2518" s="1">
        <v>110</v>
      </c>
    </row>
    <row r="2519" spans="1:38" x14ac:dyDescent="0.2">
      <c r="A2519" s="2" t="str">
        <f>HYPERLINK("https://www.compass.com/listing/25-park-row-unit-17b-manhattan-ny-10038/841517530392029489/","25 Park Row, Unit 17B")</f>
        <v>25 Park Row, Unit 17B</v>
      </c>
      <c r="B2519" s="2" t="str">
        <f t="shared" si="396"/>
        <v>25 Park Row</v>
      </c>
      <c r="C2519" s="1" t="s">
        <v>155</v>
      </c>
      <c r="D2519" s="1" t="s">
        <v>41</v>
      </c>
      <c r="E2519" s="3">
        <v>2225000</v>
      </c>
      <c r="F2519" s="1">
        <v>2006.3119927862899</v>
      </c>
      <c r="G2519" s="1">
        <v>4</v>
      </c>
      <c r="H2519" s="1">
        <v>2</v>
      </c>
      <c r="I2519" s="1">
        <v>2</v>
      </c>
      <c r="J2519" s="1">
        <v>2</v>
      </c>
      <c r="K2519" s="1">
        <v>2</v>
      </c>
      <c r="M2519" s="4">
        <v>1109</v>
      </c>
      <c r="N2519" s="1">
        <v>1370</v>
      </c>
      <c r="O2519" s="1">
        <v>2740</v>
      </c>
      <c r="P2519" s="1">
        <v>1370</v>
      </c>
      <c r="Q2519" s="1" t="s">
        <v>42</v>
      </c>
      <c r="S2519" s="1" t="s">
        <v>42</v>
      </c>
      <c r="T2519" s="1" t="s">
        <v>203</v>
      </c>
      <c r="U2519" s="1">
        <v>202</v>
      </c>
      <c r="V2519" s="5">
        <v>43744</v>
      </c>
      <c r="W2519" s="5">
        <v>43744</v>
      </c>
      <c r="X2519" s="1">
        <v>2270000</v>
      </c>
      <c r="Y2519" s="1">
        <v>2270000</v>
      </c>
      <c r="AA2519" s="1">
        <v>2225000</v>
      </c>
      <c r="AB2519" s="1" t="s">
        <v>1919</v>
      </c>
      <c r="AC2519" s="5">
        <v>44040</v>
      </c>
      <c r="AF2519" s="1">
        <v>10038</v>
      </c>
      <c r="AI2519" s="1" t="s">
        <v>58</v>
      </c>
      <c r="AJ2519" s="1">
        <v>2019</v>
      </c>
      <c r="AK2519" s="1" t="s">
        <v>55</v>
      </c>
      <c r="AL2519" s="1">
        <v>110</v>
      </c>
    </row>
    <row r="2520" spans="1:38" x14ac:dyDescent="0.2">
      <c r="A2520" s="2" t="str">
        <f>HYPERLINK("https://www.compass.com/listing/25-park-row-unit-7c-manhattan-ny-10038/841517530795227833/","25 Park Row, Unit 7C")</f>
        <v>25 Park Row, Unit 7C</v>
      </c>
      <c r="B2520" s="2" t="str">
        <f t="shared" si="396"/>
        <v>25 Park Row</v>
      </c>
      <c r="C2520" s="1" t="s">
        <v>155</v>
      </c>
      <c r="D2520" s="1" t="s">
        <v>41</v>
      </c>
      <c r="E2520" s="3">
        <v>2400000</v>
      </c>
      <c r="F2520" s="1">
        <v>1783.0609212481399</v>
      </c>
      <c r="H2520" s="1">
        <v>2</v>
      </c>
      <c r="J2520" s="1">
        <v>2.5</v>
      </c>
      <c r="K2520" s="1">
        <v>2</v>
      </c>
      <c r="L2520" s="1">
        <v>1</v>
      </c>
      <c r="M2520" s="4">
        <v>1346</v>
      </c>
      <c r="N2520" s="1">
        <v>1625.84</v>
      </c>
      <c r="O2520" s="1">
        <v>3251.8999999999901</v>
      </c>
      <c r="P2520" s="1">
        <v>1626.0833333333301</v>
      </c>
      <c r="Q2520" s="1" t="s">
        <v>42</v>
      </c>
      <c r="S2520" s="1" t="s">
        <v>42</v>
      </c>
      <c r="T2520" s="1" t="s">
        <v>203</v>
      </c>
      <c r="AA2520" s="1">
        <v>2400000</v>
      </c>
      <c r="AB2520" s="1" t="s">
        <v>1920</v>
      </c>
      <c r="AC2520" s="5">
        <v>44039</v>
      </c>
      <c r="AF2520" s="1">
        <v>10038</v>
      </c>
      <c r="AI2520" s="1" t="s">
        <v>58</v>
      </c>
      <c r="AJ2520" s="1">
        <v>2019</v>
      </c>
      <c r="AK2520" s="1" t="s">
        <v>55</v>
      </c>
      <c r="AL2520" s="1">
        <v>110</v>
      </c>
    </row>
    <row r="2521" spans="1:38" x14ac:dyDescent="0.2">
      <c r="A2521" s="2" t="str">
        <f>HYPERLINK("https://www.compass.com/listing/25-park-row-unit-31b-manhattan-ny-10038/841517530795476105/","25 Park Row, Unit 31B")</f>
        <v>25 Park Row, Unit 31B</v>
      </c>
      <c r="B2521" s="2" t="str">
        <f t="shared" si="396"/>
        <v>25 Park Row</v>
      </c>
      <c r="C2521" s="1" t="s">
        <v>155</v>
      </c>
      <c r="D2521" s="1" t="s">
        <v>41</v>
      </c>
      <c r="E2521" s="3">
        <v>2275000</v>
      </c>
      <c r="F2521" s="1">
        <v>2036.7054610564001</v>
      </c>
      <c r="H2521" s="1">
        <v>2</v>
      </c>
      <c r="J2521" s="1">
        <v>2</v>
      </c>
      <c r="K2521" s="1">
        <v>2</v>
      </c>
      <c r="M2521" s="4">
        <v>1117</v>
      </c>
      <c r="N2521" s="1">
        <v>1436.06</v>
      </c>
      <c r="O2521" s="1">
        <v>2872.31</v>
      </c>
      <c r="P2521" s="1">
        <v>1436.25</v>
      </c>
      <c r="Q2521" s="1" t="s">
        <v>42</v>
      </c>
      <c r="S2521" s="1" t="s">
        <v>42</v>
      </c>
      <c r="T2521" s="1" t="s">
        <v>203</v>
      </c>
      <c r="AA2521" s="1">
        <v>2275000</v>
      </c>
      <c r="AB2521" s="1" t="s">
        <v>1921</v>
      </c>
      <c r="AC2521" s="5">
        <v>44054</v>
      </c>
      <c r="AF2521" s="1">
        <v>10038</v>
      </c>
      <c r="AI2521" s="1" t="s">
        <v>58</v>
      </c>
      <c r="AJ2521" s="1">
        <v>2019</v>
      </c>
      <c r="AK2521" s="1" t="s">
        <v>55</v>
      </c>
      <c r="AL2521" s="1">
        <v>110</v>
      </c>
    </row>
    <row r="2522" spans="1:38" x14ac:dyDescent="0.2">
      <c r="A2522" s="2" t="str">
        <f>HYPERLINK("https://www.compass.com/listing/25-park-row-unit-30b-manhattan-ny-10038/841524033778495793/","25 Park Row, Unit 30B")</f>
        <v>25 Park Row, Unit 30B</v>
      </c>
      <c r="B2522" s="2" t="str">
        <f t="shared" si="396"/>
        <v>25 Park Row</v>
      </c>
      <c r="C2522" s="1" t="s">
        <v>155</v>
      </c>
      <c r="D2522" s="1" t="s">
        <v>41</v>
      </c>
      <c r="E2522" s="3">
        <v>2300000</v>
      </c>
      <c r="F2522" s="1">
        <v>2059.08683974932</v>
      </c>
      <c r="H2522" s="1">
        <v>2</v>
      </c>
      <c r="J2522" s="1">
        <v>2</v>
      </c>
      <c r="K2522" s="1">
        <v>2</v>
      </c>
      <c r="M2522" s="4">
        <v>1117</v>
      </c>
      <c r="N2522" s="1">
        <v>1432.05</v>
      </c>
      <c r="O2522" s="1">
        <v>2864.3</v>
      </c>
      <c r="P2522" s="1">
        <v>1432.25</v>
      </c>
      <c r="Q2522" s="1" t="s">
        <v>42</v>
      </c>
      <c r="S2522" s="1" t="s">
        <v>42</v>
      </c>
      <c r="T2522" s="1" t="s">
        <v>203</v>
      </c>
      <c r="AA2522" s="1">
        <v>2300000</v>
      </c>
      <c r="AB2522" s="1" t="s">
        <v>1922</v>
      </c>
      <c r="AC2522" s="5">
        <v>44068</v>
      </c>
      <c r="AF2522" s="1">
        <v>10038</v>
      </c>
      <c r="AI2522" s="1" t="s">
        <v>58</v>
      </c>
      <c r="AJ2522" s="1">
        <v>2019</v>
      </c>
      <c r="AK2522" s="1" t="s">
        <v>55</v>
      </c>
      <c r="AL2522" s="1">
        <v>110</v>
      </c>
    </row>
    <row r="2523" spans="1:38" x14ac:dyDescent="0.2">
      <c r="A2523" s="2" t="str">
        <f>HYPERLINK("https://www.compass.com/listing/25-park-row-unit-8c-manhattan-ny-10038/841524036605789409/","25 Park Row, Unit 8C")</f>
        <v>25 Park Row, Unit 8C</v>
      </c>
      <c r="B2523" s="2" t="str">
        <f t="shared" si="396"/>
        <v>25 Park Row</v>
      </c>
      <c r="C2523" s="1" t="s">
        <v>155</v>
      </c>
      <c r="D2523" s="1" t="s">
        <v>41</v>
      </c>
      <c r="E2523" s="3">
        <v>2500000</v>
      </c>
      <c r="F2523" s="1">
        <v>1857.35512630014</v>
      </c>
      <c r="H2523" s="1">
        <v>2</v>
      </c>
      <c r="J2523" s="1">
        <v>2.5</v>
      </c>
      <c r="K2523" s="1">
        <v>2</v>
      </c>
      <c r="L2523" s="1">
        <v>1</v>
      </c>
      <c r="M2523" s="4">
        <v>1346</v>
      </c>
      <c r="N2523" s="1">
        <v>1633.89</v>
      </c>
      <c r="O2523" s="1">
        <v>3268</v>
      </c>
      <c r="P2523" s="1">
        <v>1634.0833333333301</v>
      </c>
      <c r="Q2523" s="1" t="s">
        <v>42</v>
      </c>
      <c r="S2523" s="1" t="s">
        <v>42</v>
      </c>
      <c r="T2523" s="1" t="s">
        <v>203</v>
      </c>
      <c r="AA2523" s="1">
        <v>2500000</v>
      </c>
      <c r="AB2523" s="1" t="s">
        <v>1923</v>
      </c>
      <c r="AC2523" s="5">
        <v>44040</v>
      </c>
      <c r="AF2523" s="1">
        <v>10038</v>
      </c>
      <c r="AI2523" s="1" t="s">
        <v>58</v>
      </c>
      <c r="AJ2523" s="1">
        <v>2019</v>
      </c>
      <c r="AK2523" s="1" t="s">
        <v>55</v>
      </c>
      <c r="AL2523" s="1">
        <v>110</v>
      </c>
    </row>
    <row r="2524" spans="1:38" x14ac:dyDescent="0.2">
      <c r="A2524" s="2" t="str">
        <f>HYPERLINK("https://www.compass.com/listing/25-park-row-unit-11c-manhattan-ny-10038/841538309377078865/","25 Park Row, Unit 11C")</f>
        <v>25 Park Row, Unit 11C</v>
      </c>
      <c r="B2524" s="2" t="str">
        <f t="shared" si="396"/>
        <v>25 Park Row</v>
      </c>
      <c r="C2524" s="1" t="s">
        <v>155</v>
      </c>
      <c r="D2524" s="1" t="s">
        <v>41</v>
      </c>
      <c r="E2524" s="3">
        <v>2550000</v>
      </c>
      <c r="F2524" s="1">
        <v>1942.11728865194</v>
      </c>
      <c r="H2524" s="1">
        <v>2</v>
      </c>
      <c r="J2524" s="1">
        <v>2.5</v>
      </c>
      <c r="M2524" s="4">
        <v>1313</v>
      </c>
      <c r="N2524" s="1">
        <v>1617</v>
      </c>
      <c r="O2524" s="1">
        <v>3234</v>
      </c>
      <c r="P2524" s="1">
        <v>1617</v>
      </c>
      <c r="Q2524" s="1" t="s">
        <v>42</v>
      </c>
      <c r="S2524" s="1" t="s">
        <v>42</v>
      </c>
      <c r="T2524" s="1" t="s">
        <v>203</v>
      </c>
      <c r="AA2524" s="1">
        <v>2550000</v>
      </c>
      <c r="AB2524" s="1" t="s">
        <v>1924</v>
      </c>
      <c r="AC2524" s="5">
        <v>44043</v>
      </c>
      <c r="AF2524" s="1">
        <v>10038</v>
      </c>
      <c r="AI2524" s="1" t="s">
        <v>58</v>
      </c>
      <c r="AJ2524" s="1">
        <v>2019</v>
      </c>
      <c r="AK2524" s="1" t="s">
        <v>55</v>
      </c>
      <c r="AL2524" s="1">
        <v>110</v>
      </c>
    </row>
    <row r="2525" spans="1:38" x14ac:dyDescent="0.2">
      <c r="A2525" s="2" t="str">
        <f>HYPERLINK("https://www.compass.com/listing/287-east-houston-street-unit-5d-manhattan-ny-10002/29514945892804849/","287 E Houston St, Unit 5D")</f>
        <v>287 E Houston St, Unit 5D</v>
      </c>
      <c r="B2525" s="2" t="str">
        <f t="shared" ref="B2525:B2526" si="397">HYPERLINK("https://www.compass.com/building/287-les-manhattan-ny/281886930822496357/","287/LES")</f>
        <v>287/LES</v>
      </c>
      <c r="C2525" s="1" t="s">
        <v>84</v>
      </c>
      <c r="D2525" s="1" t="s">
        <v>41</v>
      </c>
      <c r="E2525" s="3">
        <v>1184500</v>
      </c>
      <c r="F2525" s="1">
        <v>1898.2371794871699</v>
      </c>
      <c r="G2525" s="1">
        <v>3</v>
      </c>
      <c r="H2525" s="1">
        <v>1</v>
      </c>
      <c r="I2525" s="1">
        <v>1</v>
      </c>
      <c r="J2525" s="1">
        <v>1</v>
      </c>
      <c r="K2525" s="1">
        <v>1</v>
      </c>
      <c r="M2525" s="1">
        <v>624</v>
      </c>
      <c r="N2525" s="1">
        <v>607</v>
      </c>
      <c r="O2525" s="1">
        <v>750</v>
      </c>
      <c r="P2525" s="1">
        <v>143</v>
      </c>
      <c r="Q2525" s="1" t="s">
        <v>42</v>
      </c>
      <c r="S2525" s="1" t="s">
        <v>42</v>
      </c>
      <c r="T2525" s="1" t="s">
        <v>203</v>
      </c>
      <c r="U2525" s="1">
        <v>316</v>
      </c>
      <c r="V2525" s="5">
        <v>43694</v>
      </c>
      <c r="W2525" s="5">
        <v>43223</v>
      </c>
      <c r="X2525" s="1">
        <v>1230000</v>
      </c>
      <c r="Y2525" s="1">
        <v>1230000</v>
      </c>
      <c r="Z2525" s="5">
        <v>43574</v>
      </c>
      <c r="AA2525" s="1">
        <v>1184500</v>
      </c>
      <c r="AB2525" s="1" t="s">
        <v>1925</v>
      </c>
      <c r="AC2525" s="5">
        <v>43628</v>
      </c>
      <c r="AF2525" s="1">
        <v>10002</v>
      </c>
      <c r="AI2525" s="1" t="s">
        <v>45</v>
      </c>
      <c r="AJ2525" s="1">
        <v>2018</v>
      </c>
      <c r="AK2525" s="1" t="s">
        <v>1902</v>
      </c>
      <c r="AL2525" s="1">
        <v>27</v>
      </c>
    </row>
    <row r="2526" spans="1:38" x14ac:dyDescent="0.2">
      <c r="A2526" s="2" t="str">
        <f>HYPERLINK("https://www.compass.com/listing/287-east-houston-street-unit-3d-manhattan-ny-10002/29669389208926929/","287 E Houston St, Unit 3D")</f>
        <v>287 E Houston St, Unit 3D</v>
      </c>
      <c r="B2526" s="2" t="str">
        <f t="shared" si="397"/>
        <v>287/LES</v>
      </c>
      <c r="C2526" s="1" t="s">
        <v>84</v>
      </c>
      <c r="D2526" s="1" t="s">
        <v>41</v>
      </c>
      <c r="E2526" s="3">
        <v>1150000</v>
      </c>
      <c r="F2526" s="1">
        <v>1842.9487179487101</v>
      </c>
      <c r="G2526" s="1">
        <v>3</v>
      </c>
      <c r="H2526" s="1">
        <v>1</v>
      </c>
      <c r="I2526" s="1">
        <v>1</v>
      </c>
      <c r="J2526" s="1">
        <v>1</v>
      </c>
      <c r="K2526" s="1">
        <v>1</v>
      </c>
      <c r="M2526" s="1">
        <v>624</v>
      </c>
      <c r="N2526" s="1">
        <v>599</v>
      </c>
      <c r="O2526" s="1">
        <v>1187</v>
      </c>
      <c r="P2526" s="1">
        <v>588</v>
      </c>
      <c r="Q2526" s="1" t="s">
        <v>42</v>
      </c>
      <c r="S2526" s="1" t="s">
        <v>42</v>
      </c>
      <c r="T2526" s="1" t="s">
        <v>203</v>
      </c>
      <c r="U2526" s="1">
        <v>86</v>
      </c>
      <c r="V2526" s="5">
        <v>43648</v>
      </c>
      <c r="W2526" s="5">
        <v>43027</v>
      </c>
      <c r="X2526" s="1">
        <v>1150000</v>
      </c>
      <c r="Y2526" s="1">
        <v>1150000</v>
      </c>
      <c r="Z2526" s="5">
        <v>43113</v>
      </c>
      <c r="AA2526" s="1">
        <v>1150000</v>
      </c>
      <c r="AB2526" s="1" t="s">
        <v>1926</v>
      </c>
      <c r="AC2526" s="5">
        <v>43567</v>
      </c>
      <c r="AF2526" s="1">
        <v>10002</v>
      </c>
      <c r="AI2526" s="1" t="s">
        <v>45</v>
      </c>
      <c r="AJ2526" s="1">
        <v>2018</v>
      </c>
      <c r="AK2526" s="1" t="s">
        <v>1902</v>
      </c>
      <c r="AL2526" s="1">
        <v>27</v>
      </c>
    </row>
    <row r="2527" spans="1:38" x14ac:dyDescent="0.2">
      <c r="A2527" s="2" t="str">
        <f>HYPERLINK("https://www.compass.com/listing/25-park-row-unit-28c-manhattan-ny-10038/776516980281821993/","25 Park Row, Unit 28C")</f>
        <v>25 Park Row, Unit 28C</v>
      </c>
      <c r="B2527" s="2" t="str">
        <f t="shared" ref="B2527:B2528" si="398">HYPERLINK("https://www.compass.com/building/25-park-row-manhattan-ny-10038/292920743539264837/","25 Park Row")</f>
        <v>25 Park Row</v>
      </c>
      <c r="C2527" s="1" t="s">
        <v>155</v>
      </c>
      <c r="D2527" s="1" t="s">
        <v>41</v>
      </c>
      <c r="E2527" s="3">
        <v>3550000</v>
      </c>
      <c r="F2527" s="1">
        <v>2057.9710144927499</v>
      </c>
      <c r="M2527" s="4">
        <v>1725</v>
      </c>
      <c r="Q2527" s="1" t="s">
        <v>42</v>
      </c>
      <c r="S2527" s="1" t="s">
        <v>42</v>
      </c>
      <c r="T2527" s="1" t="s">
        <v>203</v>
      </c>
      <c r="AA2527" s="1">
        <v>3550000</v>
      </c>
      <c r="AB2527" s="1" t="s">
        <v>1927</v>
      </c>
      <c r="AC2527" s="5">
        <v>44307</v>
      </c>
      <c r="AF2527" s="1">
        <v>10038</v>
      </c>
      <c r="AI2527" s="1" t="s">
        <v>58</v>
      </c>
      <c r="AJ2527" s="1">
        <v>2019</v>
      </c>
      <c r="AK2527" s="1" t="s">
        <v>55</v>
      </c>
      <c r="AL2527" s="1">
        <v>110</v>
      </c>
    </row>
    <row r="2528" spans="1:38" x14ac:dyDescent="0.2">
      <c r="A2528" s="2" t="str">
        <f>HYPERLINK("https://www.compass.com/listing/25-park-row-unit-35b-manhattan-ny-10038/799728057764162217/","25 Park Row, Unit 35B")</f>
        <v>25 Park Row, Unit 35B</v>
      </c>
      <c r="B2528" s="2" t="str">
        <f t="shared" si="398"/>
        <v>25 Park Row</v>
      </c>
      <c r="C2528" s="1" t="s">
        <v>155</v>
      </c>
      <c r="D2528" s="1" t="s">
        <v>41</v>
      </c>
      <c r="E2528" s="3">
        <v>5200000</v>
      </c>
      <c r="F2528" s="1">
        <v>2377.68632830361</v>
      </c>
      <c r="M2528" s="4">
        <v>2187</v>
      </c>
      <c r="Q2528" s="1" t="s">
        <v>42</v>
      </c>
      <c r="S2528" s="1" t="s">
        <v>42</v>
      </c>
      <c r="T2528" s="1" t="s">
        <v>203</v>
      </c>
      <c r="AA2528" s="1">
        <v>5200000</v>
      </c>
      <c r="AB2528" s="1" t="s">
        <v>1928</v>
      </c>
      <c r="AC2528" s="5">
        <v>44335</v>
      </c>
      <c r="AF2528" s="1">
        <v>10038</v>
      </c>
      <c r="AI2528" s="1" t="s">
        <v>58</v>
      </c>
      <c r="AJ2528" s="1">
        <v>2019</v>
      </c>
      <c r="AK2528" s="1" t="s">
        <v>55</v>
      </c>
      <c r="AL2528" s="1">
        <v>110</v>
      </c>
    </row>
    <row r="2529" spans="1:38" x14ac:dyDescent="0.2">
      <c r="A2529" s="2" t="str">
        <f>HYPERLINK("https://www.compass.com/listing/242-broome-street-unit-6a-manhattan-ny-10002/29514985034051329/","242 Broome St, Unit 6A")</f>
        <v>242 Broome St, Unit 6A</v>
      </c>
      <c r="B2529" s="2" t="str">
        <f t="shared" ref="B2529:B2530" si="399">HYPERLINK("https://www.compass.com/building/242-broome-essex-crossing-manhattan-ny/292776610392708181/","242 Broome, Essex Crossing")</f>
        <v>242 Broome, Essex Crossing</v>
      </c>
      <c r="C2529" s="1" t="s">
        <v>84</v>
      </c>
      <c r="D2529" s="1" t="s">
        <v>41</v>
      </c>
      <c r="E2529" s="3">
        <v>2850000</v>
      </c>
      <c r="F2529" s="1">
        <v>2087.9120879120801</v>
      </c>
      <c r="G2529" s="1">
        <v>4</v>
      </c>
      <c r="H2529" s="1">
        <v>2</v>
      </c>
      <c r="I2529" s="1">
        <v>2</v>
      </c>
      <c r="J2529" s="1">
        <v>2</v>
      </c>
      <c r="K2529" s="1">
        <v>2</v>
      </c>
      <c r="M2529" s="4">
        <v>1365</v>
      </c>
      <c r="N2529" s="1">
        <v>2961</v>
      </c>
      <c r="O2529" s="1">
        <v>3840</v>
      </c>
      <c r="P2529" s="1">
        <v>879</v>
      </c>
      <c r="Q2529" s="1" t="s">
        <v>42</v>
      </c>
      <c r="S2529" s="1" t="s">
        <v>42</v>
      </c>
      <c r="T2529" s="1" t="s">
        <v>203</v>
      </c>
      <c r="U2529" s="1">
        <v>103</v>
      </c>
      <c r="V2529" s="5">
        <v>44314</v>
      </c>
      <c r="W2529" s="5">
        <v>42859</v>
      </c>
      <c r="X2529" s="1">
        <v>2895000</v>
      </c>
      <c r="Y2529" s="1">
        <v>2895000</v>
      </c>
      <c r="Z2529" s="5">
        <v>42962</v>
      </c>
      <c r="AA2529" s="1">
        <v>2850000</v>
      </c>
      <c r="AB2529" s="1" t="s">
        <v>1929</v>
      </c>
      <c r="AC2529" s="5">
        <v>43291</v>
      </c>
      <c r="AF2529" s="1">
        <v>10002</v>
      </c>
      <c r="AI2529" s="1" t="s">
        <v>115</v>
      </c>
      <c r="AJ2529" s="1">
        <v>2018</v>
      </c>
      <c r="AK2529" s="1" t="s">
        <v>50</v>
      </c>
      <c r="AL2529" s="1">
        <v>55</v>
      </c>
    </row>
    <row r="2530" spans="1:38" x14ac:dyDescent="0.2">
      <c r="A2530" s="2" t="str">
        <f>HYPERLINK("https://www.compass.com/listing/242-broome-street-unit-8d-manhattan-ny-10002/34108180959167777/","242 Broome St, Unit 8D")</f>
        <v>242 Broome St, Unit 8D</v>
      </c>
      <c r="B2530" s="2" t="str">
        <f t="shared" si="399"/>
        <v>242 Broome, Essex Crossing</v>
      </c>
      <c r="C2530" s="1" t="s">
        <v>84</v>
      </c>
      <c r="D2530" s="1" t="s">
        <v>41</v>
      </c>
      <c r="E2530" s="3">
        <v>2674181</v>
      </c>
      <c r="F2530" s="1">
        <v>2068.1987625676702</v>
      </c>
      <c r="G2530" s="1">
        <v>4</v>
      </c>
      <c r="H2530" s="1">
        <v>2</v>
      </c>
      <c r="I2530" s="1">
        <v>2</v>
      </c>
      <c r="J2530" s="1">
        <v>2</v>
      </c>
      <c r="K2530" s="1">
        <v>2</v>
      </c>
      <c r="M2530" s="4">
        <v>1293</v>
      </c>
      <c r="N2530" s="1">
        <v>2517</v>
      </c>
      <c r="O2530" s="1">
        <v>3264</v>
      </c>
      <c r="P2530" s="1">
        <v>747</v>
      </c>
      <c r="Q2530" s="1" t="s">
        <v>42</v>
      </c>
      <c r="S2530" s="1" t="s">
        <v>42</v>
      </c>
      <c r="T2530" s="1" t="s">
        <v>203</v>
      </c>
      <c r="U2530" s="1">
        <v>1</v>
      </c>
      <c r="V2530" s="5">
        <v>44314</v>
      </c>
      <c r="W2530" s="5">
        <v>42986</v>
      </c>
      <c r="X2530" s="1">
        <v>2700000</v>
      </c>
      <c r="Y2530" s="1">
        <v>2700000</v>
      </c>
      <c r="Z2530" s="5">
        <v>42987</v>
      </c>
      <c r="AA2530" s="1">
        <v>2674181</v>
      </c>
      <c r="AB2530" s="1" t="s">
        <v>1930</v>
      </c>
      <c r="AC2530" s="5">
        <v>43294</v>
      </c>
      <c r="AF2530" s="1">
        <v>10002</v>
      </c>
      <c r="AI2530" s="1" t="s">
        <v>45</v>
      </c>
      <c r="AJ2530" s="1">
        <v>2018</v>
      </c>
      <c r="AK2530" s="1" t="s">
        <v>50</v>
      </c>
      <c r="AL2530" s="1">
        <v>55</v>
      </c>
    </row>
    <row r="2531" spans="1:38" x14ac:dyDescent="0.2">
      <c r="A2531" s="2" t="str">
        <f>HYPERLINK("https://www.compass.com/listing/287-east-houston-street-unit-3a-manhattan-ny-10002/211514867809638401/","287 E Houston St, Unit 3A")</f>
        <v>287 E Houston St, Unit 3A</v>
      </c>
      <c r="B2531" s="2" t="str">
        <f t="shared" ref="B2531:B2532" si="400">HYPERLINK("https://www.compass.com/building/287-les-manhattan-ny/281886930822496357/","287/LES")</f>
        <v>287/LES</v>
      </c>
      <c r="C2531" s="1" t="s">
        <v>84</v>
      </c>
      <c r="D2531" s="1" t="s">
        <v>41</v>
      </c>
      <c r="E2531" s="3">
        <v>1293687</v>
      </c>
      <c r="F2531" s="1">
        <v>1724.9155066666599</v>
      </c>
      <c r="G2531" s="1">
        <v>3</v>
      </c>
      <c r="H2531" s="1">
        <v>1</v>
      </c>
      <c r="I2531" s="1">
        <v>1</v>
      </c>
      <c r="J2531" s="1">
        <v>1</v>
      </c>
      <c r="K2531" s="1">
        <v>1</v>
      </c>
      <c r="M2531" s="1">
        <v>750</v>
      </c>
      <c r="N2531" s="1">
        <v>746</v>
      </c>
      <c r="O2531" s="1">
        <v>1270</v>
      </c>
      <c r="P2531" s="1">
        <v>524</v>
      </c>
      <c r="Q2531" s="1" t="s">
        <v>42</v>
      </c>
      <c r="S2531" s="1" t="s">
        <v>42</v>
      </c>
      <c r="T2531" s="1" t="s">
        <v>203</v>
      </c>
      <c r="U2531" s="1">
        <v>314</v>
      </c>
      <c r="V2531" s="5">
        <v>44072</v>
      </c>
      <c r="W2531" s="5">
        <v>43543</v>
      </c>
      <c r="X2531" s="1">
        <v>1395000</v>
      </c>
      <c r="Y2531" s="1">
        <v>1365000</v>
      </c>
      <c r="Z2531" s="5">
        <v>43858</v>
      </c>
      <c r="AA2531" s="1">
        <v>1293686.6299999999</v>
      </c>
      <c r="AB2531" s="1" t="s">
        <v>1931</v>
      </c>
      <c r="AC2531" s="5">
        <v>43930</v>
      </c>
      <c r="AF2531" s="1">
        <v>10002</v>
      </c>
      <c r="AI2531" s="1" t="s">
        <v>45</v>
      </c>
      <c r="AJ2531" s="1">
        <v>2018</v>
      </c>
      <c r="AK2531" s="1" t="s">
        <v>178</v>
      </c>
      <c r="AL2531" s="1">
        <v>27</v>
      </c>
    </row>
    <row r="2532" spans="1:38" x14ac:dyDescent="0.2">
      <c r="A2532" s="2" t="str">
        <f>HYPERLINK("https://www.compass.com/listing/287-east-houston-street-unit-7c-manhattan-ny-10002/29669392002333521/","287 E Houston St, Unit 7C")</f>
        <v>287 E Houston St, Unit 7C</v>
      </c>
      <c r="B2532" s="2" t="str">
        <f t="shared" si="400"/>
        <v>287/LES</v>
      </c>
      <c r="C2532" s="1" t="s">
        <v>84</v>
      </c>
      <c r="D2532" s="1" t="s">
        <v>41</v>
      </c>
      <c r="E2532" s="3">
        <v>1301000</v>
      </c>
      <c r="F2532" s="1">
        <v>2084.9358974358902</v>
      </c>
      <c r="G2532" s="1">
        <v>3</v>
      </c>
      <c r="H2532" s="1">
        <v>1</v>
      </c>
      <c r="I2532" s="1">
        <v>1</v>
      </c>
      <c r="J2532" s="1">
        <v>1</v>
      </c>
      <c r="K2532" s="1">
        <v>1</v>
      </c>
      <c r="M2532" s="1">
        <v>624</v>
      </c>
      <c r="N2532" s="1">
        <v>615</v>
      </c>
      <c r="O2532" s="1">
        <v>1218</v>
      </c>
      <c r="P2532" s="1">
        <v>603</v>
      </c>
      <c r="Q2532" s="1" t="s">
        <v>42</v>
      </c>
      <c r="S2532" s="1" t="s">
        <v>42</v>
      </c>
      <c r="T2532" s="1" t="s">
        <v>203</v>
      </c>
      <c r="U2532" s="1">
        <v>284</v>
      </c>
      <c r="V2532" s="5">
        <v>43648</v>
      </c>
      <c r="W2532" s="5">
        <v>42857</v>
      </c>
      <c r="X2532" s="1">
        <v>1285000</v>
      </c>
      <c r="Y2532" s="1">
        <v>1295000</v>
      </c>
      <c r="Z2532" s="5">
        <v>43199</v>
      </c>
      <c r="AA2532" s="1">
        <v>1301000</v>
      </c>
      <c r="AB2532" s="1" t="s">
        <v>1932</v>
      </c>
      <c r="AC2532" s="5">
        <v>43581</v>
      </c>
      <c r="AF2532" s="1">
        <v>10002</v>
      </c>
      <c r="AI2532" s="1" t="s">
        <v>45</v>
      </c>
      <c r="AJ2532" s="1">
        <v>2018</v>
      </c>
      <c r="AK2532" s="1" t="s">
        <v>1902</v>
      </c>
      <c r="AL2532" s="1">
        <v>27</v>
      </c>
    </row>
    <row r="2533" spans="1:38" x14ac:dyDescent="0.2">
      <c r="A2533" s="2" t="str">
        <f>HYPERLINK("https://www.compass.com/listing/150-rivington-street-unit-2f-manhattan-ny-10002/29514917262484577/","150 Rivington St, Unit 2F")</f>
        <v>150 Rivington St, Unit 2F</v>
      </c>
      <c r="B2533" s="2" t="str">
        <f t="shared" ref="B2533:B2534" si="401">HYPERLINK("https://www.compass.com/building/150-rivington-street-manhattan-ny/282058947895000453/","150 Rivington Street")</f>
        <v>150 Rivington Street</v>
      </c>
      <c r="C2533" s="1" t="s">
        <v>84</v>
      </c>
      <c r="D2533" s="1" t="s">
        <v>41</v>
      </c>
      <c r="E2533" s="3">
        <v>1016159</v>
      </c>
      <c r="F2533" s="1">
        <v>1864.5114678898999</v>
      </c>
      <c r="G2533" s="1">
        <v>3</v>
      </c>
      <c r="H2533" s="1">
        <v>1</v>
      </c>
      <c r="I2533" s="1">
        <v>1</v>
      </c>
      <c r="J2533" s="1">
        <v>1</v>
      </c>
      <c r="K2533" s="1">
        <v>1</v>
      </c>
      <c r="M2533" s="1">
        <v>545</v>
      </c>
      <c r="N2533" s="1">
        <v>756</v>
      </c>
      <c r="O2533" s="1">
        <v>1542</v>
      </c>
      <c r="P2533" s="1">
        <v>786</v>
      </c>
      <c r="Q2533" s="1" t="s">
        <v>42</v>
      </c>
      <c r="S2533" s="1" t="s">
        <v>42</v>
      </c>
      <c r="T2533" s="1" t="s">
        <v>203</v>
      </c>
      <c r="U2533" s="1">
        <v>379</v>
      </c>
      <c r="V2533" s="5">
        <v>43678</v>
      </c>
      <c r="W2533" s="5">
        <v>42793</v>
      </c>
      <c r="X2533" s="1">
        <v>995000</v>
      </c>
      <c r="Y2533" s="1">
        <v>995000</v>
      </c>
      <c r="Z2533" s="5">
        <v>43173</v>
      </c>
      <c r="AA2533" s="1">
        <v>1016158.75</v>
      </c>
      <c r="AB2533" s="1" t="s">
        <v>1933</v>
      </c>
      <c r="AC2533" s="5">
        <v>43598</v>
      </c>
      <c r="AF2533" s="1">
        <v>10002</v>
      </c>
      <c r="AI2533" s="1" t="s">
        <v>1934</v>
      </c>
      <c r="AJ2533" s="1">
        <v>2019</v>
      </c>
      <c r="AK2533" s="1" t="s">
        <v>87</v>
      </c>
      <c r="AL2533" s="1">
        <v>45</v>
      </c>
    </row>
    <row r="2534" spans="1:38" x14ac:dyDescent="0.2">
      <c r="A2534" s="2" t="str">
        <f>HYPERLINK("https://www.compass.com/listing/150-rivington-street-unit-2e-manhattan-ny-10002/29514919200253105/","150 Rivington St, Unit 2E")</f>
        <v>150 Rivington St, Unit 2E</v>
      </c>
      <c r="B2534" s="2" t="str">
        <f t="shared" si="401"/>
        <v>150 Rivington Street</v>
      </c>
      <c r="C2534" s="1" t="s">
        <v>84</v>
      </c>
      <c r="D2534" s="1" t="s">
        <v>41</v>
      </c>
      <c r="E2534" s="3">
        <v>1016159</v>
      </c>
      <c r="F2534" s="1">
        <v>1867.93887867647</v>
      </c>
      <c r="G2534" s="1">
        <v>3</v>
      </c>
      <c r="H2534" s="1">
        <v>1</v>
      </c>
      <c r="I2534" s="1">
        <v>1</v>
      </c>
      <c r="J2534" s="1">
        <v>1</v>
      </c>
      <c r="K2534" s="1">
        <v>1</v>
      </c>
      <c r="M2534" s="1">
        <v>544</v>
      </c>
      <c r="N2534" s="1">
        <v>658</v>
      </c>
      <c r="O2534" s="1">
        <v>1443</v>
      </c>
      <c r="P2534" s="1">
        <v>785</v>
      </c>
      <c r="Q2534" s="1" t="s">
        <v>42</v>
      </c>
      <c r="S2534" s="1" t="s">
        <v>42</v>
      </c>
      <c r="T2534" s="1" t="s">
        <v>203</v>
      </c>
      <c r="U2534" s="1">
        <v>545</v>
      </c>
      <c r="V2534" s="5">
        <v>43678</v>
      </c>
      <c r="W2534" s="5">
        <v>42627</v>
      </c>
      <c r="X2534" s="1">
        <v>995000</v>
      </c>
      <c r="Y2534" s="1">
        <v>995000</v>
      </c>
      <c r="Z2534" s="5">
        <v>43173</v>
      </c>
      <c r="AA2534" s="1">
        <v>1016158.75</v>
      </c>
      <c r="AB2534" s="1" t="s">
        <v>1935</v>
      </c>
      <c r="AC2534" s="5">
        <v>43621</v>
      </c>
      <c r="AF2534" s="1">
        <v>10002</v>
      </c>
      <c r="AI2534" s="1" t="s">
        <v>1936</v>
      </c>
      <c r="AJ2534" s="1">
        <v>2019</v>
      </c>
      <c r="AK2534" s="1" t="s">
        <v>87</v>
      </c>
      <c r="AL2534" s="1">
        <v>45</v>
      </c>
    </row>
    <row r="2535" spans="1:38" x14ac:dyDescent="0.2">
      <c r="A2535" s="2" t="str">
        <f>HYPERLINK("https://www.compass.com/listing/242-broome-street-unit-9e-manhattan-ny-10002/29514980940369473/","242 Broome St, Unit 9E")</f>
        <v>242 Broome St, Unit 9E</v>
      </c>
      <c r="B2535" s="2" t="str">
        <f>HYPERLINK("https://www.compass.com/building/242-broome-essex-crossing-manhattan-ny/292776610392708181/","242 Broome, Essex Crossing")</f>
        <v>242 Broome, Essex Crossing</v>
      </c>
      <c r="C2535" s="1" t="s">
        <v>84</v>
      </c>
      <c r="D2535" s="1" t="s">
        <v>41</v>
      </c>
      <c r="E2535" s="3">
        <v>1413026</v>
      </c>
      <c r="F2535" s="1">
        <v>1844.6814621409901</v>
      </c>
      <c r="G2535" s="1">
        <v>3</v>
      </c>
      <c r="H2535" s="1">
        <v>1</v>
      </c>
      <c r="I2535" s="1">
        <v>1</v>
      </c>
      <c r="J2535" s="1">
        <v>1</v>
      </c>
      <c r="K2535" s="1">
        <v>1</v>
      </c>
      <c r="M2535" s="1">
        <v>766</v>
      </c>
      <c r="N2535" s="1">
        <v>1498</v>
      </c>
      <c r="O2535" s="1">
        <v>1943</v>
      </c>
      <c r="P2535" s="1">
        <v>445</v>
      </c>
      <c r="Q2535" s="1" t="s">
        <v>42</v>
      </c>
      <c r="S2535" s="1" t="s">
        <v>42</v>
      </c>
      <c r="T2535" s="1" t="s">
        <v>203</v>
      </c>
      <c r="V2535" s="5">
        <v>44314</v>
      </c>
      <c r="W2535" s="5">
        <v>42685</v>
      </c>
      <c r="X2535" s="1">
        <v>1385000</v>
      </c>
      <c r="Y2535" s="1">
        <v>1385000</v>
      </c>
      <c r="Z2535" s="5">
        <v>42685</v>
      </c>
      <c r="AA2535" s="1">
        <v>1413026</v>
      </c>
      <c r="AB2535" s="1" t="s">
        <v>1937</v>
      </c>
      <c r="AC2535" s="5">
        <v>43316</v>
      </c>
      <c r="AF2535" s="1">
        <v>10002</v>
      </c>
      <c r="AI2535" s="1" t="s">
        <v>45</v>
      </c>
      <c r="AJ2535" s="1">
        <v>2018</v>
      </c>
      <c r="AK2535" s="1" t="s">
        <v>50</v>
      </c>
      <c r="AL2535" s="1">
        <v>55</v>
      </c>
    </row>
    <row r="2536" spans="1:38" x14ac:dyDescent="0.2">
      <c r="A2536" s="2" t="str">
        <f>HYPERLINK("https://www.compass.com/listing/25-park-row-unit-37b-manhattan-ny-10038/841496296343197017/","25 Park Row, Unit 37B")</f>
        <v>25 Park Row, Unit 37B</v>
      </c>
      <c r="B2536" s="2" t="str">
        <f t="shared" ref="B2536:B2538" si="402">HYPERLINK("https://www.compass.com/building/25-park-row-manhattan-ny-10038/292920743539264837/","25 Park Row")</f>
        <v>25 Park Row</v>
      </c>
      <c r="C2536" s="1" t="s">
        <v>155</v>
      </c>
      <c r="D2536" s="1" t="s">
        <v>41</v>
      </c>
      <c r="E2536" s="3">
        <v>5299000</v>
      </c>
      <c r="F2536" s="1">
        <v>2422.95381801554</v>
      </c>
      <c r="H2536" s="1">
        <v>3</v>
      </c>
      <c r="J2536" s="1">
        <v>3.5</v>
      </c>
      <c r="K2536" s="1">
        <v>3</v>
      </c>
      <c r="L2536" s="1">
        <v>1</v>
      </c>
      <c r="M2536" s="4">
        <v>2187</v>
      </c>
      <c r="N2536" s="1">
        <v>3190.93</v>
      </c>
      <c r="O2536" s="1">
        <v>6381.28</v>
      </c>
      <c r="P2536" s="1">
        <v>3190.3333333333298</v>
      </c>
      <c r="Q2536" s="1" t="s">
        <v>42</v>
      </c>
      <c r="S2536" s="1" t="s">
        <v>42</v>
      </c>
      <c r="T2536" s="1" t="s">
        <v>203</v>
      </c>
      <c r="AA2536" s="1">
        <v>5299000</v>
      </c>
      <c r="AB2536" s="1" t="s">
        <v>1938</v>
      </c>
      <c r="AC2536" s="5">
        <v>44182</v>
      </c>
      <c r="AF2536" s="1">
        <v>10038</v>
      </c>
      <c r="AI2536" s="1" t="s">
        <v>58</v>
      </c>
      <c r="AJ2536" s="1">
        <v>2019</v>
      </c>
      <c r="AK2536" s="1" t="s">
        <v>55</v>
      </c>
      <c r="AL2536" s="1">
        <v>110</v>
      </c>
    </row>
    <row r="2537" spans="1:38" x14ac:dyDescent="0.2">
      <c r="A2537" s="2" t="str">
        <f>HYPERLINK("https://www.compass.com/listing/25-park-row-unit-17a-manhattan-ny-10038/841517524001045081/","25 Park Row, Unit 17A")</f>
        <v>25 Park Row, Unit 17A</v>
      </c>
      <c r="B2537" s="2" t="str">
        <f t="shared" si="402"/>
        <v>25 Park Row</v>
      </c>
      <c r="C2537" s="1" t="s">
        <v>155</v>
      </c>
      <c r="D2537" s="1" t="s">
        <v>41</v>
      </c>
      <c r="E2537" s="3">
        <v>3500000</v>
      </c>
      <c r="F2537" s="1">
        <v>2246.4698331193799</v>
      </c>
      <c r="H2537" s="1">
        <v>2</v>
      </c>
      <c r="J2537" s="1">
        <v>2.5</v>
      </c>
      <c r="K2537" s="1">
        <v>2</v>
      </c>
      <c r="L2537" s="1">
        <v>1</v>
      </c>
      <c r="M2537" s="4">
        <v>1558</v>
      </c>
      <c r="N2537" s="1">
        <v>2256.48</v>
      </c>
      <c r="O2537" s="1">
        <v>4513.26</v>
      </c>
      <c r="P2537" s="1">
        <v>2256.75</v>
      </c>
      <c r="Q2537" s="1" t="s">
        <v>42</v>
      </c>
      <c r="S2537" s="1" t="s">
        <v>42</v>
      </c>
      <c r="T2537" s="1" t="s">
        <v>203</v>
      </c>
      <c r="AA2537" s="1">
        <v>3500000</v>
      </c>
      <c r="AB2537" s="1" t="s">
        <v>1939</v>
      </c>
      <c r="AC2537" s="5">
        <v>44075</v>
      </c>
      <c r="AF2537" s="1">
        <v>10038</v>
      </c>
      <c r="AI2537" s="1" t="s">
        <v>58</v>
      </c>
      <c r="AJ2537" s="1">
        <v>2019</v>
      </c>
      <c r="AK2537" s="1" t="s">
        <v>55</v>
      </c>
      <c r="AL2537" s="1">
        <v>110</v>
      </c>
    </row>
    <row r="2538" spans="1:38" x14ac:dyDescent="0.2">
      <c r="A2538" s="2" t="str">
        <f>HYPERLINK("https://www.compass.com/listing/25-park-row-unit-5e-manhattan-ny-10038/841524036680366177/","25 Park Row, Unit 5E")</f>
        <v>25 Park Row, Unit 5E</v>
      </c>
      <c r="B2538" s="2" t="str">
        <f t="shared" si="402"/>
        <v>25 Park Row</v>
      </c>
      <c r="C2538" s="1" t="s">
        <v>155</v>
      </c>
      <c r="D2538" s="1" t="s">
        <v>41</v>
      </c>
      <c r="E2538" s="3">
        <v>3750000</v>
      </c>
      <c r="F2538" s="1">
        <v>2012.88244766505</v>
      </c>
      <c r="H2538" s="1">
        <v>3</v>
      </c>
      <c r="J2538" s="1">
        <v>3</v>
      </c>
      <c r="K2538" s="1">
        <v>3</v>
      </c>
      <c r="M2538" s="4">
        <v>1863</v>
      </c>
      <c r="N2538" s="1">
        <v>2375.4499999999998</v>
      </c>
      <c r="O2538" s="1">
        <v>4751.21</v>
      </c>
      <c r="P2538" s="1">
        <v>2375.75</v>
      </c>
      <c r="Q2538" s="1" t="s">
        <v>42</v>
      </c>
      <c r="S2538" s="1" t="s">
        <v>42</v>
      </c>
      <c r="T2538" s="1" t="s">
        <v>203</v>
      </c>
      <c r="AA2538" s="1">
        <v>3750000</v>
      </c>
      <c r="AB2538" s="1" t="s">
        <v>1940</v>
      </c>
      <c r="AC2538" s="5">
        <v>44159</v>
      </c>
      <c r="AF2538" s="1">
        <v>10038</v>
      </c>
      <c r="AI2538" s="1" t="s">
        <v>58</v>
      </c>
      <c r="AJ2538" s="1">
        <v>2019</v>
      </c>
      <c r="AK2538" s="1" t="s">
        <v>55</v>
      </c>
      <c r="AL2538" s="1">
        <v>110</v>
      </c>
    </row>
    <row r="2539" spans="1:38" x14ac:dyDescent="0.2">
      <c r="A2539" s="2" t="str">
        <f>HYPERLINK("https://www.compass.com/listing/150-rivington-street-unit-4g-manhattan-ny-10002/281701814141768945/","150 Rivington St, Unit 4G")</f>
        <v>150 Rivington St, Unit 4G</v>
      </c>
      <c r="B2539" s="2" t="str">
        <f t="shared" ref="B2539:B2540" si="403">HYPERLINK("https://www.compass.com/building/150-rivington-street-manhattan-ny/282058947895000453/","150 Rivington Street")</f>
        <v>150 Rivington Street</v>
      </c>
      <c r="C2539" s="1" t="s">
        <v>84</v>
      </c>
      <c r="D2539" s="1" t="s">
        <v>41</v>
      </c>
      <c r="E2539" s="3">
        <v>1145000</v>
      </c>
      <c r="F2539" s="1">
        <v>1994.7735191637601</v>
      </c>
      <c r="G2539" s="1">
        <v>3</v>
      </c>
      <c r="H2539" s="1">
        <v>1</v>
      </c>
      <c r="I2539" s="1">
        <v>1</v>
      </c>
      <c r="J2539" s="1">
        <v>1</v>
      </c>
      <c r="K2539" s="1">
        <v>1</v>
      </c>
      <c r="M2539" s="1">
        <v>574</v>
      </c>
      <c r="N2539" s="1">
        <v>805</v>
      </c>
      <c r="O2539" s="1">
        <v>1641</v>
      </c>
      <c r="P2539" s="1">
        <v>836</v>
      </c>
      <c r="Q2539" s="1" t="s">
        <v>42</v>
      </c>
      <c r="S2539" s="1" t="s">
        <v>42</v>
      </c>
      <c r="T2539" s="1" t="s">
        <v>203</v>
      </c>
      <c r="V2539" s="5">
        <v>43694</v>
      </c>
      <c r="W2539" s="5">
        <v>43160</v>
      </c>
      <c r="X2539" s="1">
        <v>1145000</v>
      </c>
      <c r="Y2539" s="1">
        <v>1145000</v>
      </c>
      <c r="Z2539" s="5">
        <v>43160</v>
      </c>
      <c r="AA2539" s="1">
        <v>1145000</v>
      </c>
      <c r="AB2539" s="1" t="s">
        <v>1941</v>
      </c>
      <c r="AC2539" s="5">
        <v>43628</v>
      </c>
      <c r="AF2539" s="1">
        <v>10002</v>
      </c>
      <c r="AI2539" s="1" t="s">
        <v>1934</v>
      </c>
      <c r="AJ2539" s="1">
        <v>2019</v>
      </c>
      <c r="AK2539" s="1" t="s">
        <v>87</v>
      </c>
      <c r="AL2539" s="1">
        <v>45</v>
      </c>
    </row>
    <row r="2540" spans="1:38" x14ac:dyDescent="0.2">
      <c r="A2540" s="2" t="str">
        <f>HYPERLINK("https://www.compass.com/listing/150-rivington-street-unit-3f-manhattan-ny-10002/29514913856641297/","150 Rivington St, Unit 3F")</f>
        <v>150 Rivington St, Unit 3F</v>
      </c>
      <c r="B2540" s="2" t="str">
        <f t="shared" si="403"/>
        <v>150 Rivington Street</v>
      </c>
      <c r="C2540" s="1" t="s">
        <v>84</v>
      </c>
      <c r="D2540" s="1" t="s">
        <v>41</v>
      </c>
      <c r="E2540" s="3">
        <v>1115000</v>
      </c>
      <c r="F2540" s="1">
        <v>1942.50871080139</v>
      </c>
      <c r="G2540" s="1">
        <v>3</v>
      </c>
      <c r="H2540" s="1">
        <v>1</v>
      </c>
      <c r="I2540" s="1">
        <v>1</v>
      </c>
      <c r="J2540" s="1">
        <v>1</v>
      </c>
      <c r="K2540" s="1">
        <v>1</v>
      </c>
      <c r="M2540" s="1">
        <v>574</v>
      </c>
      <c r="N2540" s="1">
        <v>801</v>
      </c>
      <c r="O2540" s="1">
        <v>1633</v>
      </c>
      <c r="P2540" s="1">
        <v>832</v>
      </c>
      <c r="Q2540" s="1" t="s">
        <v>42</v>
      </c>
      <c r="S2540" s="1" t="s">
        <v>42</v>
      </c>
      <c r="T2540" s="1" t="s">
        <v>203</v>
      </c>
      <c r="U2540" s="1">
        <v>8</v>
      </c>
      <c r="V2540" s="5">
        <v>43678</v>
      </c>
      <c r="W2540" s="5">
        <v>43237</v>
      </c>
      <c r="X2540" s="1">
        <v>1115000</v>
      </c>
      <c r="Y2540" s="1">
        <v>1115000</v>
      </c>
      <c r="Z2540" s="5">
        <v>43245</v>
      </c>
      <c r="AA2540" s="1">
        <v>1115000</v>
      </c>
      <c r="AB2540" s="1" t="s">
        <v>1942</v>
      </c>
      <c r="AC2540" s="5">
        <v>43586</v>
      </c>
      <c r="AF2540" s="1">
        <v>10002</v>
      </c>
      <c r="AI2540" s="1" t="s">
        <v>1934</v>
      </c>
      <c r="AJ2540" s="1">
        <v>2019</v>
      </c>
      <c r="AK2540" s="1" t="s">
        <v>87</v>
      </c>
      <c r="AL2540" s="1">
        <v>45</v>
      </c>
    </row>
    <row r="2541" spans="1:38" x14ac:dyDescent="0.2">
      <c r="A2541" s="2" t="str">
        <f>HYPERLINK("https://www.compass.com/listing/242-broome-street-unit-8e-manhattan-ny-10002/29514978859994625/","242 Broome St, Unit 8E")</f>
        <v>242 Broome St, Unit 8E</v>
      </c>
      <c r="B2541" s="2" t="str">
        <f>HYPERLINK("https://www.compass.com/building/242-broome-essex-crossing-manhattan-ny/292776610392708181/","242 Broome, Essex Crossing")</f>
        <v>242 Broome, Essex Crossing</v>
      </c>
      <c r="C2541" s="1" t="s">
        <v>84</v>
      </c>
      <c r="D2541" s="1" t="s">
        <v>41</v>
      </c>
      <c r="E2541" s="3">
        <v>1308656</v>
      </c>
      <c r="F2541" s="1">
        <v>1710.66094117647</v>
      </c>
      <c r="G2541" s="1">
        <v>3</v>
      </c>
      <c r="H2541" s="1">
        <v>1</v>
      </c>
      <c r="I2541" s="1">
        <v>1</v>
      </c>
      <c r="J2541" s="1">
        <v>1</v>
      </c>
      <c r="K2541" s="1">
        <v>1</v>
      </c>
      <c r="M2541" s="1">
        <v>765</v>
      </c>
      <c r="N2541" s="1">
        <v>1495</v>
      </c>
      <c r="O2541" s="1">
        <v>1931</v>
      </c>
      <c r="P2541" s="1">
        <v>436</v>
      </c>
      <c r="Q2541" s="1" t="s">
        <v>42</v>
      </c>
      <c r="S2541" s="1" t="s">
        <v>42</v>
      </c>
      <c r="T2541" s="1" t="s">
        <v>203</v>
      </c>
      <c r="U2541" s="1">
        <v>103</v>
      </c>
      <c r="V2541" s="5">
        <v>44427</v>
      </c>
      <c r="W2541" s="5">
        <v>42579</v>
      </c>
      <c r="X2541" s="1">
        <v>1350000</v>
      </c>
      <c r="Y2541" s="1">
        <v>1350000</v>
      </c>
      <c r="Z2541" s="5">
        <v>42683</v>
      </c>
      <c r="AA2541" s="1">
        <v>1308655.6200000001</v>
      </c>
      <c r="AB2541" s="1" t="s">
        <v>1943</v>
      </c>
      <c r="AC2541" s="5">
        <v>43348</v>
      </c>
      <c r="AF2541" s="1">
        <v>10002</v>
      </c>
      <c r="AI2541" s="1" t="s">
        <v>115</v>
      </c>
      <c r="AJ2541" s="1">
        <v>2018</v>
      </c>
      <c r="AK2541" s="1" t="s">
        <v>81</v>
      </c>
      <c r="AL2541" s="1">
        <v>55</v>
      </c>
    </row>
    <row r="2542" spans="1:38" x14ac:dyDescent="0.2">
      <c r="A2542" s="2" t="str">
        <f>HYPERLINK("https://www.compass.com/listing/150-rivington-street-unit-4c-manhattan-ny-10002/152737693007138209/","150 Rivington St, Unit 4C")</f>
        <v>150 Rivington St, Unit 4C</v>
      </c>
      <c r="B2542" s="2" t="str">
        <f t="shared" ref="B2542:B2543" si="404">HYPERLINK("https://www.compass.com/building/150-rivington-street-manhattan-ny/282058947895000453/","150 Rivington Street")</f>
        <v>150 Rivington Street</v>
      </c>
      <c r="C2542" s="1" t="s">
        <v>84</v>
      </c>
      <c r="D2542" s="1" t="s">
        <v>41</v>
      </c>
      <c r="E2542" s="3">
        <v>1265000</v>
      </c>
      <c r="F2542" s="1">
        <v>1852.1229868228399</v>
      </c>
      <c r="G2542" s="1">
        <v>3</v>
      </c>
      <c r="H2542" s="1">
        <v>1</v>
      </c>
      <c r="I2542" s="1">
        <v>1</v>
      </c>
      <c r="J2542" s="1">
        <v>1</v>
      </c>
      <c r="K2542" s="1">
        <v>1</v>
      </c>
      <c r="M2542" s="1">
        <v>683</v>
      </c>
      <c r="N2542" s="1">
        <v>957</v>
      </c>
      <c r="O2542" s="1">
        <v>1952</v>
      </c>
      <c r="P2542" s="1">
        <v>995</v>
      </c>
      <c r="Q2542" s="1" t="s">
        <v>42</v>
      </c>
      <c r="S2542" s="1" t="s">
        <v>42</v>
      </c>
      <c r="T2542" s="1" t="s">
        <v>203</v>
      </c>
      <c r="U2542" s="1">
        <v>118</v>
      </c>
      <c r="V2542" s="5">
        <v>43694</v>
      </c>
      <c r="W2542" s="5">
        <v>43463</v>
      </c>
      <c r="X2542" s="1">
        <v>1315000</v>
      </c>
      <c r="Y2542" s="1">
        <v>1315000</v>
      </c>
      <c r="Z2542" s="5">
        <v>43581</v>
      </c>
      <c r="AA2542" s="1">
        <v>1265000</v>
      </c>
      <c r="AB2542" s="1" t="s">
        <v>1944</v>
      </c>
      <c r="AC2542" s="5">
        <v>43641</v>
      </c>
      <c r="AF2542" s="1">
        <v>10002</v>
      </c>
      <c r="AI2542" s="1" t="s">
        <v>1945</v>
      </c>
      <c r="AJ2542" s="1">
        <v>2019</v>
      </c>
      <c r="AK2542" s="1" t="s">
        <v>87</v>
      </c>
      <c r="AL2542" s="1">
        <v>45</v>
      </c>
    </row>
    <row r="2543" spans="1:38" x14ac:dyDescent="0.2">
      <c r="A2543" s="2" t="str">
        <f>HYPERLINK("https://www.compass.com/listing/150-rivington-street-unit-2g-manhattan-ny-10002/247718401831645617/","150 Rivington St, Unit 2G")</f>
        <v>150 Rivington St, Unit 2G</v>
      </c>
      <c r="B2543" s="2" t="str">
        <f t="shared" si="404"/>
        <v>150 Rivington Street</v>
      </c>
      <c r="C2543" s="1" t="s">
        <v>84</v>
      </c>
      <c r="D2543" s="1" t="s">
        <v>41</v>
      </c>
      <c r="E2543" s="3">
        <v>1255000</v>
      </c>
      <c r="F2543" s="1">
        <v>1813.5838150289001</v>
      </c>
      <c r="G2543" s="1">
        <v>3</v>
      </c>
      <c r="H2543" s="1">
        <v>1</v>
      </c>
      <c r="I2543" s="1">
        <v>1</v>
      </c>
      <c r="J2543" s="1">
        <v>1</v>
      </c>
      <c r="K2543" s="1">
        <v>1</v>
      </c>
      <c r="M2543" s="1">
        <v>692</v>
      </c>
      <c r="N2543" s="1">
        <v>960</v>
      </c>
      <c r="O2543" s="1">
        <v>1958</v>
      </c>
      <c r="P2543" s="1">
        <v>998</v>
      </c>
      <c r="Q2543" s="1" t="s">
        <v>42</v>
      </c>
      <c r="S2543" s="1" t="s">
        <v>42</v>
      </c>
      <c r="T2543" s="1" t="s">
        <v>203</v>
      </c>
      <c r="V2543" s="5">
        <v>43678</v>
      </c>
      <c r="W2543" s="5">
        <v>43594</v>
      </c>
      <c r="X2543" s="1">
        <v>1275000</v>
      </c>
      <c r="Y2543" s="1">
        <v>1275000</v>
      </c>
      <c r="Z2543" s="5">
        <v>43594</v>
      </c>
      <c r="AA2543" s="1">
        <v>1255000</v>
      </c>
      <c r="AB2543" s="1" t="s">
        <v>297</v>
      </c>
      <c r="AC2543" s="5">
        <v>43676</v>
      </c>
      <c r="AF2543" s="1">
        <v>10002</v>
      </c>
      <c r="AI2543" s="1" t="s">
        <v>1945</v>
      </c>
      <c r="AJ2543" s="1">
        <v>2019</v>
      </c>
      <c r="AK2543" s="1" t="s">
        <v>87</v>
      </c>
      <c r="AL2543" s="1">
        <v>45</v>
      </c>
    </row>
    <row r="2544" spans="1:38" x14ac:dyDescent="0.2">
      <c r="A2544" s="2" t="str">
        <f>HYPERLINK("https://www.compass.com/listing/287-east-houston-street-unit-7a-manhattan-ny-10002/211514866391959825/","287 E Houston St, Unit 7A")</f>
        <v>287 E Houston St, Unit 7A</v>
      </c>
      <c r="B2544" s="2" t="str">
        <f>HYPERLINK("https://www.compass.com/building/287-les-manhattan-ny/281886930822496357/","287/LES")</f>
        <v>287/LES</v>
      </c>
      <c r="C2544" s="1" t="s">
        <v>84</v>
      </c>
      <c r="D2544" s="1" t="s">
        <v>41</v>
      </c>
      <c r="E2544" s="3">
        <v>2578000</v>
      </c>
      <c r="F2544" s="1">
        <v>1860.02886002886</v>
      </c>
      <c r="G2544" s="1">
        <v>4</v>
      </c>
      <c r="H2544" s="1">
        <v>2</v>
      </c>
      <c r="I2544" s="1">
        <v>2</v>
      </c>
      <c r="J2544" s="1">
        <v>2</v>
      </c>
      <c r="K2544" s="1">
        <v>2</v>
      </c>
      <c r="M2544" s="4">
        <v>1386</v>
      </c>
      <c r="N2544" s="1">
        <v>1399</v>
      </c>
      <c r="O2544" s="1">
        <v>2383</v>
      </c>
      <c r="P2544" s="1">
        <v>984</v>
      </c>
      <c r="Q2544" s="1" t="s">
        <v>42</v>
      </c>
      <c r="S2544" s="1" t="s">
        <v>42</v>
      </c>
      <c r="T2544" s="1" t="s">
        <v>203</v>
      </c>
      <c r="U2544" s="1">
        <v>48</v>
      </c>
      <c r="V2544" s="5">
        <v>44072</v>
      </c>
      <c r="W2544" s="5">
        <v>43543</v>
      </c>
      <c r="X2544" s="1">
        <v>2795000</v>
      </c>
      <c r="AB2544" s="1" t="s">
        <v>204</v>
      </c>
      <c r="AF2544" s="1">
        <v>10002</v>
      </c>
      <c r="AI2544" s="1" t="s">
        <v>1901</v>
      </c>
      <c r="AJ2544" s="1">
        <v>2018</v>
      </c>
      <c r="AK2544" s="1" t="s">
        <v>178</v>
      </c>
      <c r="AL2544" s="1">
        <v>27</v>
      </c>
    </row>
    <row r="2545" spans="1:38" x14ac:dyDescent="0.2">
      <c r="A2545" s="2" t="str">
        <f>HYPERLINK("https://www.compass.com/listing/150-rivington-street-unit-5f-manhattan-ny-10002/293283050496824673/","150 Rivington St, Unit 5F")</f>
        <v>150 Rivington St, Unit 5F</v>
      </c>
      <c r="B2545" s="2" t="str">
        <f>HYPERLINK("https://www.compass.com/building/150-rivington-street-manhattan-ny/282058947895000453/","150 Rivington Street")</f>
        <v>150 Rivington Street</v>
      </c>
      <c r="C2545" s="1" t="s">
        <v>84</v>
      </c>
      <c r="D2545" s="1" t="s">
        <v>41</v>
      </c>
      <c r="E2545" s="3">
        <v>2275000</v>
      </c>
      <c r="F2545" s="1">
        <v>2044.0251572326999</v>
      </c>
      <c r="G2545" s="1">
        <v>4</v>
      </c>
      <c r="H2545" s="1">
        <v>2</v>
      </c>
      <c r="I2545" s="1">
        <v>3</v>
      </c>
      <c r="J2545" s="1">
        <v>2.5</v>
      </c>
      <c r="K2545" s="1">
        <v>2</v>
      </c>
      <c r="L2545" s="1">
        <v>1</v>
      </c>
      <c r="M2545" s="4">
        <v>1113</v>
      </c>
      <c r="N2545" s="1">
        <v>1568</v>
      </c>
      <c r="O2545" s="1">
        <v>3197</v>
      </c>
      <c r="P2545" s="1">
        <v>1629</v>
      </c>
      <c r="Q2545" s="1" t="s">
        <v>42</v>
      </c>
      <c r="S2545" s="1" t="s">
        <v>42</v>
      </c>
      <c r="T2545" s="1" t="s">
        <v>203</v>
      </c>
      <c r="U2545" s="1">
        <v>6</v>
      </c>
      <c r="V2545" s="5">
        <v>43697</v>
      </c>
      <c r="W2545" s="5">
        <v>42938</v>
      </c>
      <c r="X2545" s="1">
        <v>2275000</v>
      </c>
      <c r="Y2545" s="1">
        <v>2275000</v>
      </c>
      <c r="Z2545" s="5">
        <v>42944</v>
      </c>
      <c r="AA2545" s="1">
        <v>2275000</v>
      </c>
      <c r="AB2545" s="1" t="s">
        <v>1946</v>
      </c>
      <c r="AC2545" s="5">
        <v>43643</v>
      </c>
      <c r="AF2545" s="1">
        <v>10002</v>
      </c>
      <c r="AI2545" s="1" t="s">
        <v>1934</v>
      </c>
      <c r="AJ2545" s="1">
        <v>2019</v>
      </c>
      <c r="AK2545" s="1" t="s">
        <v>87</v>
      </c>
      <c r="AL2545" s="1">
        <v>45</v>
      </c>
    </row>
    <row r="2546" spans="1:38" x14ac:dyDescent="0.2">
      <c r="A2546" s="2" t="str">
        <f>HYPERLINK("https://www.compass.com/listing/287-east-houston-street-unit-10a-manhattan-ny-10002/29514946219892273/","287 E Houston St, Unit 10A")</f>
        <v>287 E Houston St, Unit 10A</v>
      </c>
      <c r="B2546" s="2" t="str">
        <f t="shared" ref="B2546:B2547" si="405">HYPERLINK("https://www.compass.com/building/287-les-manhattan-ny/281886930822496357/","287/LES")</f>
        <v>287/LES</v>
      </c>
      <c r="C2546" s="1" t="s">
        <v>84</v>
      </c>
      <c r="D2546" s="1" t="s">
        <v>41</v>
      </c>
      <c r="E2546" s="3">
        <v>2609266</v>
      </c>
      <c r="F2546" s="1">
        <v>2201.9122362869198</v>
      </c>
      <c r="G2546" s="1">
        <v>4</v>
      </c>
      <c r="H2546" s="1">
        <v>2</v>
      </c>
      <c r="I2546" s="1">
        <v>2</v>
      </c>
      <c r="J2546" s="1">
        <v>2</v>
      </c>
      <c r="K2546" s="1">
        <v>2</v>
      </c>
      <c r="M2546" s="4">
        <v>1185</v>
      </c>
      <c r="N2546" s="1">
        <v>1198</v>
      </c>
      <c r="O2546" s="1">
        <v>2374</v>
      </c>
      <c r="P2546" s="1">
        <v>1176</v>
      </c>
      <c r="Q2546" s="1" t="s">
        <v>42</v>
      </c>
      <c r="S2546" s="1" t="s">
        <v>42</v>
      </c>
      <c r="T2546" s="1" t="s">
        <v>203</v>
      </c>
      <c r="U2546" s="1">
        <v>175</v>
      </c>
      <c r="V2546" s="5">
        <v>43637</v>
      </c>
      <c r="W2546" s="5">
        <v>43223</v>
      </c>
      <c r="X2546" s="1">
        <v>2700000</v>
      </c>
      <c r="Y2546" s="1">
        <v>2700000</v>
      </c>
      <c r="Z2546" s="5">
        <v>43398</v>
      </c>
      <c r="AA2546" s="1">
        <v>2609266</v>
      </c>
      <c r="AB2546" s="1" t="s">
        <v>1947</v>
      </c>
      <c r="AC2546" s="5">
        <v>43581</v>
      </c>
      <c r="AF2546" s="1">
        <v>10002</v>
      </c>
      <c r="AI2546" s="1" t="s">
        <v>45</v>
      </c>
      <c r="AJ2546" s="1">
        <v>2018</v>
      </c>
      <c r="AK2546" s="1" t="s">
        <v>1902</v>
      </c>
      <c r="AL2546" s="1">
        <v>27</v>
      </c>
    </row>
    <row r="2547" spans="1:38" x14ac:dyDescent="0.2">
      <c r="A2547" s="2" t="str">
        <f>HYPERLINK("https://www.compass.com/listing/287-east-houston-street-unit-8a-manhattan-ny-10002/29514949961211585/","287 E Houston St, Unit 8A")</f>
        <v>287 E Houston St, Unit 8A</v>
      </c>
      <c r="B2547" s="2" t="str">
        <f t="shared" si="405"/>
        <v>287/LES</v>
      </c>
      <c r="C2547" s="1" t="s">
        <v>84</v>
      </c>
      <c r="D2547" s="1" t="s">
        <v>41</v>
      </c>
      <c r="E2547" s="3">
        <v>2685125</v>
      </c>
      <c r="F2547" s="1">
        <v>2131.0515873015802</v>
      </c>
      <c r="G2547" s="1">
        <v>4</v>
      </c>
      <c r="H2547" s="1">
        <v>2</v>
      </c>
      <c r="I2547" s="1">
        <v>2</v>
      </c>
      <c r="J2547" s="1">
        <v>2</v>
      </c>
      <c r="K2547" s="1">
        <v>2</v>
      </c>
      <c r="M2547" s="4">
        <v>1260</v>
      </c>
      <c r="N2547" s="1">
        <v>1266</v>
      </c>
      <c r="O2547" s="1">
        <v>2509</v>
      </c>
      <c r="P2547" s="1">
        <v>1243</v>
      </c>
      <c r="Q2547" s="1" t="s">
        <v>42</v>
      </c>
      <c r="S2547" s="1" t="s">
        <v>42</v>
      </c>
      <c r="T2547" s="1" t="s">
        <v>203</v>
      </c>
      <c r="U2547" s="1">
        <v>84</v>
      </c>
      <c r="V2547" s="5">
        <v>43643</v>
      </c>
      <c r="W2547" s="5">
        <v>43139</v>
      </c>
      <c r="X2547" s="1">
        <v>2750000</v>
      </c>
      <c r="Y2547" s="1">
        <v>2750000</v>
      </c>
      <c r="Z2547" s="5">
        <v>43264</v>
      </c>
      <c r="AA2547" s="1">
        <v>2685125</v>
      </c>
      <c r="AB2547" s="1" t="s">
        <v>1948</v>
      </c>
      <c r="AC2547" s="5">
        <v>43553</v>
      </c>
      <c r="AF2547" s="1">
        <v>10002</v>
      </c>
      <c r="AI2547" s="1" t="s">
        <v>108</v>
      </c>
      <c r="AJ2547" s="1">
        <v>2018</v>
      </c>
      <c r="AK2547" s="1" t="s">
        <v>1902</v>
      </c>
      <c r="AL2547" s="1">
        <v>27</v>
      </c>
    </row>
    <row r="2548" spans="1:38" x14ac:dyDescent="0.2">
      <c r="A2548" s="2" t="str">
        <f>HYPERLINK("https://www.compass.com/listing/242-broome-street-unit-11a-manhattan-ny-10002/29514984060972769/","242 Broome St, Unit 11A")</f>
        <v>242 Broome St, Unit 11A</v>
      </c>
      <c r="B2548" s="2" t="str">
        <f>HYPERLINK("https://www.compass.com/building/242-broome-essex-crossing-manhattan-ny/292776610392708181/","242 Broome, Essex Crossing")</f>
        <v>242 Broome, Essex Crossing</v>
      </c>
      <c r="C2548" s="1" t="s">
        <v>84</v>
      </c>
      <c r="D2548" s="1" t="s">
        <v>41</v>
      </c>
      <c r="E2548" s="3">
        <v>2750000</v>
      </c>
      <c r="F2548" s="1">
        <v>2002.9133284777799</v>
      </c>
      <c r="G2548" s="1">
        <v>5</v>
      </c>
      <c r="H2548" s="1">
        <v>2</v>
      </c>
      <c r="I2548" s="1">
        <v>3</v>
      </c>
      <c r="J2548" s="1">
        <v>2.5</v>
      </c>
      <c r="K2548" s="1">
        <v>2</v>
      </c>
      <c r="L2548" s="1">
        <v>1</v>
      </c>
      <c r="M2548" s="4">
        <v>1373</v>
      </c>
      <c r="N2548" s="1">
        <v>2712</v>
      </c>
      <c r="O2548" s="1">
        <v>3517</v>
      </c>
      <c r="P2548" s="1">
        <v>805</v>
      </c>
      <c r="Q2548" s="1" t="s">
        <v>42</v>
      </c>
      <c r="S2548" s="1" t="s">
        <v>42</v>
      </c>
      <c r="T2548" s="1" t="s">
        <v>203</v>
      </c>
      <c r="U2548" s="1">
        <v>183</v>
      </c>
      <c r="V2548" s="5">
        <v>44314</v>
      </c>
      <c r="W2548" s="5">
        <v>42845</v>
      </c>
      <c r="X2548" s="1">
        <v>2800000</v>
      </c>
      <c r="Y2548" s="1">
        <v>2800000</v>
      </c>
      <c r="Z2548" s="5">
        <v>43028</v>
      </c>
      <c r="AA2548" s="1">
        <v>2750000</v>
      </c>
      <c r="AB2548" s="1" t="s">
        <v>1949</v>
      </c>
      <c r="AC2548" s="5">
        <v>43304</v>
      </c>
      <c r="AF2548" s="1">
        <v>10002</v>
      </c>
      <c r="AI2548" s="1" t="s">
        <v>45</v>
      </c>
      <c r="AJ2548" s="1">
        <v>2018</v>
      </c>
      <c r="AK2548" s="1" t="s">
        <v>50</v>
      </c>
      <c r="AL2548" s="1">
        <v>55</v>
      </c>
    </row>
    <row r="2549" spans="1:38" x14ac:dyDescent="0.2">
      <c r="A2549" s="2" t="str">
        <f>HYPERLINK("https://www.compass.com/listing/287-east-houston-street-unit-8b-manhattan-ny-10002/29669371441854177/","287 E Houston St, Unit 8B")</f>
        <v>287 E Houston St, Unit 8B</v>
      </c>
      <c r="B2549" s="2" t="str">
        <f t="shared" ref="B2549:B2551" si="406">HYPERLINK("https://www.compass.com/building/287-les-manhattan-ny/281886930822496357/","287/LES")</f>
        <v>287/LES</v>
      </c>
      <c r="C2549" s="1" t="s">
        <v>84</v>
      </c>
      <c r="D2549" s="1" t="s">
        <v>41</v>
      </c>
      <c r="E2549" s="3">
        <v>2710000</v>
      </c>
      <c r="F2549" s="1">
        <v>2348.3535528596099</v>
      </c>
      <c r="G2549" s="1">
        <v>4</v>
      </c>
      <c r="H2549" s="1">
        <v>2</v>
      </c>
      <c r="I2549" s="1">
        <v>2</v>
      </c>
      <c r="J2549" s="1">
        <v>2</v>
      </c>
      <c r="K2549" s="1">
        <v>2</v>
      </c>
      <c r="M2549" s="4">
        <v>1154</v>
      </c>
      <c r="N2549" s="1">
        <v>1208</v>
      </c>
      <c r="O2549" s="1">
        <v>2394</v>
      </c>
      <c r="P2549" s="1">
        <v>1186</v>
      </c>
      <c r="Q2549" s="1" t="s">
        <v>42</v>
      </c>
      <c r="S2549" s="1" t="s">
        <v>42</v>
      </c>
      <c r="T2549" s="1" t="s">
        <v>203</v>
      </c>
      <c r="U2549" s="1">
        <v>222</v>
      </c>
      <c r="V2549" s="5">
        <v>43648</v>
      </c>
      <c r="W2549" s="5">
        <v>42855</v>
      </c>
      <c r="X2549" s="1">
        <v>2750000</v>
      </c>
      <c r="Y2549" s="1">
        <v>2750000</v>
      </c>
      <c r="Z2549" s="5">
        <v>43077</v>
      </c>
      <c r="AA2549" s="1">
        <v>2710000</v>
      </c>
      <c r="AB2549" s="1" t="s">
        <v>1950</v>
      </c>
      <c r="AC2549" s="5">
        <v>43551</v>
      </c>
      <c r="AF2549" s="1">
        <v>10002</v>
      </c>
      <c r="AI2549" s="1" t="s">
        <v>108</v>
      </c>
      <c r="AJ2549" s="1">
        <v>2018</v>
      </c>
      <c r="AK2549" s="1" t="s">
        <v>1902</v>
      </c>
      <c r="AL2549" s="1">
        <v>27</v>
      </c>
    </row>
    <row r="2550" spans="1:38" x14ac:dyDescent="0.2">
      <c r="A2550" s="2" t="str">
        <f>HYPERLINK("https://www.compass.com/listing/287-east-houston-street-unit-9a-manhattan-ny-10002/29669387749309089/","287 E Houston St, Unit 9A")</f>
        <v>287 E Houston St, Unit 9A</v>
      </c>
      <c r="B2550" s="2" t="str">
        <f t="shared" si="406"/>
        <v>287/LES</v>
      </c>
      <c r="C2550" s="1" t="s">
        <v>84</v>
      </c>
      <c r="D2550" s="1" t="s">
        <v>41</v>
      </c>
      <c r="E2550" s="3">
        <v>2560000</v>
      </c>
      <c r="G2550" s="1">
        <v>4</v>
      </c>
      <c r="H2550" s="1">
        <v>2</v>
      </c>
      <c r="I2550" s="1">
        <v>2</v>
      </c>
      <c r="J2550" s="1">
        <v>2</v>
      </c>
      <c r="K2550" s="1">
        <v>2</v>
      </c>
      <c r="N2550" s="1">
        <v>1219</v>
      </c>
      <c r="O2550" s="1">
        <v>2418</v>
      </c>
      <c r="P2550" s="1">
        <v>1199</v>
      </c>
      <c r="Q2550" s="1" t="s">
        <v>42</v>
      </c>
      <c r="S2550" s="1" t="s">
        <v>42</v>
      </c>
      <c r="T2550" s="1" t="s">
        <v>203</v>
      </c>
      <c r="U2550" s="1">
        <v>35</v>
      </c>
      <c r="V2550" s="5">
        <v>43673</v>
      </c>
      <c r="W2550" s="5">
        <v>43042</v>
      </c>
      <c r="X2550" s="1">
        <v>2600000</v>
      </c>
      <c r="Y2550" s="1">
        <v>2600000</v>
      </c>
      <c r="Z2550" s="5">
        <v>43077</v>
      </c>
      <c r="AA2550" s="1">
        <v>2560000</v>
      </c>
      <c r="AB2550" s="1" t="s">
        <v>1951</v>
      </c>
      <c r="AC2550" s="5">
        <v>43566</v>
      </c>
      <c r="AF2550" s="1">
        <v>10002</v>
      </c>
      <c r="AI2550" s="1" t="s">
        <v>45</v>
      </c>
      <c r="AJ2550" s="1">
        <v>2018</v>
      </c>
      <c r="AK2550" s="1" t="s">
        <v>1902</v>
      </c>
      <c r="AL2550" s="1">
        <v>27</v>
      </c>
    </row>
    <row r="2551" spans="1:38" x14ac:dyDescent="0.2">
      <c r="A2551" s="2" t="str">
        <f>HYPERLINK("https://www.compass.com/listing/287-east-houston-street-unit-mais-manhattan-ny-10002/730687325384915369/","287 E Houston St, Unit MAIS")</f>
        <v>287 E Houston St, Unit MAIS</v>
      </c>
      <c r="B2551" s="2" t="str">
        <f t="shared" si="406"/>
        <v>287/LES</v>
      </c>
      <c r="C2551" s="1" t="s">
        <v>84</v>
      </c>
      <c r="D2551" s="1" t="s">
        <v>41</v>
      </c>
      <c r="E2551" s="3">
        <v>2565000</v>
      </c>
      <c r="F2551" s="1">
        <v>1856.0057887120099</v>
      </c>
      <c r="G2551" s="1">
        <v>4</v>
      </c>
      <c r="H2551" s="1">
        <v>2</v>
      </c>
      <c r="I2551" s="1">
        <v>3</v>
      </c>
      <c r="J2551" s="1">
        <v>2.5</v>
      </c>
      <c r="K2551" s="1">
        <v>2</v>
      </c>
      <c r="L2551" s="1">
        <v>1</v>
      </c>
      <c r="M2551" s="4">
        <v>1382</v>
      </c>
      <c r="N2551" s="1">
        <v>1362</v>
      </c>
      <c r="O2551" s="1">
        <v>3449</v>
      </c>
      <c r="P2551" s="1">
        <v>2087</v>
      </c>
      <c r="S2551" s="1" t="s">
        <v>42</v>
      </c>
      <c r="T2551" s="1" t="s">
        <v>203</v>
      </c>
      <c r="U2551" s="1">
        <v>570</v>
      </c>
      <c r="V2551" s="5">
        <v>44296</v>
      </c>
      <c r="W2551" s="5">
        <v>43593</v>
      </c>
      <c r="X2551" s="1">
        <v>2675000</v>
      </c>
      <c r="Y2551" s="1">
        <v>2565000</v>
      </c>
      <c r="AA2551" s="1">
        <v>2565000</v>
      </c>
      <c r="AB2551" s="1" t="s">
        <v>204</v>
      </c>
      <c r="AC2551" s="5">
        <v>44257</v>
      </c>
      <c r="AF2551" s="1">
        <v>10002</v>
      </c>
      <c r="AI2551" s="1" t="s">
        <v>45</v>
      </c>
      <c r="AJ2551" s="1">
        <v>2018</v>
      </c>
      <c r="AK2551" s="1" t="s">
        <v>341</v>
      </c>
      <c r="AL2551" s="1">
        <v>27</v>
      </c>
    </row>
    <row r="2552" spans="1:38" x14ac:dyDescent="0.2">
      <c r="A2552" s="2" t="str">
        <f>HYPERLINK("https://www.compass.com/listing/242-broome-street-unit-10f-manhattan-ny-10002/29514975143882081/","242 Broome St, Unit 10F")</f>
        <v>242 Broome St, Unit 10F</v>
      </c>
      <c r="B2552" s="2" t="str">
        <f t="shared" ref="B2552:B2553" si="407">HYPERLINK("https://www.compass.com/building/242-broome-essex-crossing-manhattan-ny/292776610392708181/","242 Broome, Essex Crossing")</f>
        <v>242 Broome, Essex Crossing</v>
      </c>
      <c r="C2552" s="1" t="s">
        <v>84</v>
      </c>
      <c r="D2552" s="1" t="s">
        <v>41</v>
      </c>
      <c r="E2552" s="3">
        <v>2590000</v>
      </c>
      <c r="F2552" s="1">
        <v>2110.8394458027701</v>
      </c>
      <c r="G2552" s="1">
        <v>4</v>
      </c>
      <c r="H2552" s="1">
        <v>2</v>
      </c>
      <c r="I2552" s="1">
        <v>2</v>
      </c>
      <c r="J2552" s="1">
        <v>2</v>
      </c>
      <c r="K2552" s="1">
        <v>2</v>
      </c>
      <c r="M2552" s="4">
        <v>1227</v>
      </c>
      <c r="N2552" s="1">
        <v>2412</v>
      </c>
      <c r="O2552" s="1">
        <v>3128</v>
      </c>
      <c r="P2552" s="1">
        <v>716</v>
      </c>
      <c r="Q2552" s="1" t="s">
        <v>335</v>
      </c>
      <c r="R2552" s="1" t="s">
        <v>1952</v>
      </c>
      <c r="S2552" s="1" t="s">
        <v>1953</v>
      </c>
      <c r="T2552" s="1" t="s">
        <v>203</v>
      </c>
      <c r="V2552" s="5">
        <v>44314</v>
      </c>
      <c r="W2552" s="5">
        <v>42930</v>
      </c>
      <c r="X2552" s="1">
        <v>2590000</v>
      </c>
      <c r="Y2552" s="1">
        <v>2590000</v>
      </c>
      <c r="Z2552" s="5">
        <v>42930</v>
      </c>
      <c r="AA2552" s="1">
        <v>2590000</v>
      </c>
      <c r="AB2552" s="1" t="s">
        <v>1954</v>
      </c>
      <c r="AC2552" s="5">
        <v>43301</v>
      </c>
      <c r="AF2552" s="1">
        <v>10002</v>
      </c>
      <c r="AG2552" s="1" t="s">
        <v>1955</v>
      </c>
      <c r="AI2552" s="1" t="s">
        <v>45</v>
      </c>
      <c r="AJ2552" s="1">
        <v>2018</v>
      </c>
      <c r="AK2552" s="1" t="s">
        <v>50</v>
      </c>
      <c r="AL2552" s="1">
        <v>55</v>
      </c>
    </row>
    <row r="2553" spans="1:38" x14ac:dyDescent="0.2">
      <c r="A2553" s="2" t="str">
        <f>HYPERLINK("https://www.compass.com/listing/242-broome-street-unit-14c-manhattan-ny-10002/213741398820658113/","242 Broome St, Unit 14C")</f>
        <v>242 Broome St, Unit 14C</v>
      </c>
      <c r="B2553" s="2" t="str">
        <f t="shared" si="407"/>
        <v>242 Broome, Essex Crossing</v>
      </c>
      <c r="C2553" s="1" t="s">
        <v>84</v>
      </c>
      <c r="D2553" s="1" t="s">
        <v>41</v>
      </c>
      <c r="E2553" s="3">
        <v>2925000</v>
      </c>
      <c r="F2553" s="1">
        <v>2269.20093095422</v>
      </c>
      <c r="G2553" s="1">
        <v>4</v>
      </c>
      <c r="H2553" s="1">
        <v>2</v>
      </c>
      <c r="I2553" s="1">
        <v>2</v>
      </c>
      <c r="J2553" s="1">
        <v>2</v>
      </c>
      <c r="K2553" s="1">
        <v>2</v>
      </c>
      <c r="M2553" s="4">
        <v>1289</v>
      </c>
      <c r="N2553" s="1">
        <v>2570</v>
      </c>
      <c r="O2553" s="1">
        <v>3333</v>
      </c>
      <c r="P2553" s="1">
        <v>763</v>
      </c>
      <c r="Q2553" s="1" t="s">
        <v>42</v>
      </c>
      <c r="S2553" s="1" t="s">
        <v>42</v>
      </c>
      <c r="T2553" s="1" t="s">
        <v>203</v>
      </c>
      <c r="U2553" s="1">
        <v>1</v>
      </c>
      <c r="V2553" s="5">
        <v>44314</v>
      </c>
      <c r="W2553" s="5">
        <v>43550</v>
      </c>
      <c r="X2553" s="1">
        <v>2975000</v>
      </c>
      <c r="Y2553" s="1">
        <v>2975000</v>
      </c>
      <c r="Z2553" s="5">
        <v>43551</v>
      </c>
      <c r="AA2553" s="1">
        <v>2925000</v>
      </c>
      <c r="AB2553" s="1" t="s">
        <v>1956</v>
      </c>
      <c r="AC2553" s="5">
        <v>43619</v>
      </c>
      <c r="AF2553" s="1">
        <v>10002</v>
      </c>
      <c r="AI2553" s="1" t="s">
        <v>45</v>
      </c>
      <c r="AJ2553" s="1">
        <v>2018</v>
      </c>
      <c r="AK2553" s="1" t="s">
        <v>50</v>
      </c>
      <c r="AL2553" s="1">
        <v>55</v>
      </c>
    </row>
    <row r="2554" spans="1:38" x14ac:dyDescent="0.2">
      <c r="A2554" s="2" t="str">
        <f>HYPERLINK("https://www.compass.com/listing/150-rivington-street-unit-4d-manhattan-ny-10002/29514914812942641/","150 Rivington St, Unit 4D")</f>
        <v>150 Rivington St, Unit 4D</v>
      </c>
      <c r="B2554" s="2" t="str">
        <f>HYPERLINK("https://www.compass.com/building/150-rivington-street-manhattan-ny/282058947895000453/","150 Rivington Street")</f>
        <v>150 Rivington Street</v>
      </c>
      <c r="C2554" s="1" t="s">
        <v>84</v>
      </c>
      <c r="D2554" s="1" t="s">
        <v>41</v>
      </c>
      <c r="E2554" s="3">
        <v>1345000</v>
      </c>
      <c r="F2554" s="1">
        <v>1938.04034582132</v>
      </c>
      <c r="G2554" s="1">
        <v>3</v>
      </c>
      <c r="H2554" s="1">
        <v>1</v>
      </c>
      <c r="I2554" s="1">
        <v>1</v>
      </c>
      <c r="J2554" s="1">
        <v>1</v>
      </c>
      <c r="K2554" s="1">
        <v>1</v>
      </c>
      <c r="M2554" s="1">
        <v>694</v>
      </c>
      <c r="N2554" s="1">
        <v>974</v>
      </c>
      <c r="O2554" s="1">
        <v>1986</v>
      </c>
      <c r="P2554" s="1">
        <v>1012</v>
      </c>
      <c r="Q2554" s="1" t="s">
        <v>42</v>
      </c>
      <c r="S2554" s="1" t="s">
        <v>42</v>
      </c>
      <c r="T2554" s="1" t="s">
        <v>203</v>
      </c>
      <c r="V2554" s="5">
        <v>43697</v>
      </c>
      <c r="W2554" s="5">
        <v>43175</v>
      </c>
      <c r="X2554" s="1">
        <v>1375000</v>
      </c>
      <c r="Y2554" s="1">
        <v>1375000</v>
      </c>
      <c r="Z2554" s="5">
        <v>43175</v>
      </c>
      <c r="AA2554" s="1">
        <v>1345000</v>
      </c>
      <c r="AB2554" s="1" t="s">
        <v>1957</v>
      </c>
      <c r="AC2554" s="5">
        <v>43626</v>
      </c>
      <c r="AF2554" s="1">
        <v>10002</v>
      </c>
      <c r="AI2554" s="1" t="s">
        <v>1945</v>
      </c>
      <c r="AJ2554" s="1">
        <v>2019</v>
      </c>
      <c r="AK2554" s="1" t="s">
        <v>87</v>
      </c>
      <c r="AL2554" s="1">
        <v>45</v>
      </c>
    </row>
    <row r="2555" spans="1:38" x14ac:dyDescent="0.2">
      <c r="A2555" s="2" t="str">
        <f>HYPERLINK("https://www.compass.com/listing/242-broome-street-unit-5a-manhattan-ny-10002/29514977492624257/","242 Broome St, Unit 5A")</f>
        <v>242 Broome St, Unit 5A</v>
      </c>
      <c r="B2555" s="2" t="str">
        <f t="shared" ref="B2555:B2561" si="408">HYPERLINK("https://www.compass.com/building/242-broome-essex-crossing-manhattan-ny/292776610392708181/","242 Broome, Essex Crossing")</f>
        <v>242 Broome, Essex Crossing</v>
      </c>
      <c r="C2555" s="1" t="s">
        <v>84</v>
      </c>
      <c r="D2555" s="1" t="s">
        <v>41</v>
      </c>
      <c r="E2555" s="3">
        <v>1932334</v>
      </c>
      <c r="F2555" s="1">
        <v>1638.9601357082199</v>
      </c>
      <c r="G2555" s="1">
        <v>3</v>
      </c>
      <c r="H2555" s="1">
        <v>2</v>
      </c>
      <c r="I2555" s="1">
        <v>2</v>
      </c>
      <c r="J2555" s="1">
        <v>2</v>
      </c>
      <c r="K2555" s="1">
        <v>2</v>
      </c>
      <c r="M2555" s="4">
        <v>1179</v>
      </c>
      <c r="N2555" s="1">
        <v>2285</v>
      </c>
      <c r="O2555" s="1">
        <v>2956</v>
      </c>
      <c r="P2555" s="1">
        <v>671</v>
      </c>
      <c r="Q2555" s="1" t="s">
        <v>42</v>
      </c>
      <c r="S2555" s="1" t="s">
        <v>42</v>
      </c>
      <c r="T2555" s="1" t="s">
        <v>203</v>
      </c>
      <c r="U2555" s="1">
        <v>51</v>
      </c>
      <c r="V2555" s="5">
        <v>44314</v>
      </c>
      <c r="W2555" s="5">
        <v>42641</v>
      </c>
      <c r="X2555" s="1">
        <v>1895000</v>
      </c>
      <c r="Y2555" s="1">
        <v>1895000</v>
      </c>
      <c r="Z2555" s="5">
        <v>42692</v>
      </c>
      <c r="AA2555" s="1">
        <v>1932334</v>
      </c>
      <c r="AB2555" s="1" t="s">
        <v>1958</v>
      </c>
      <c r="AC2555" s="5">
        <v>43300</v>
      </c>
      <c r="AF2555" s="1">
        <v>10002</v>
      </c>
      <c r="AI2555" s="1" t="s">
        <v>45</v>
      </c>
      <c r="AJ2555" s="1">
        <v>2018</v>
      </c>
      <c r="AK2555" s="1" t="s">
        <v>50</v>
      </c>
      <c r="AL2555" s="1">
        <v>55</v>
      </c>
    </row>
    <row r="2556" spans="1:38" x14ac:dyDescent="0.2">
      <c r="A2556" s="2" t="str">
        <f>HYPERLINK("https://www.compass.com/listing/242-broome-street-unit-9c-manhattan-ny-10002/29514984430003345/","242 Broome St, Unit 9C")</f>
        <v>242 Broome St, Unit 9C</v>
      </c>
      <c r="B2556" s="2" t="str">
        <f t="shared" si="408"/>
        <v>242 Broome, Essex Crossing</v>
      </c>
      <c r="C2556" s="1" t="s">
        <v>84</v>
      </c>
      <c r="D2556" s="1" t="s">
        <v>41</v>
      </c>
      <c r="E2556" s="3">
        <v>2900000</v>
      </c>
      <c r="F2556" s="1">
        <v>1905.3876478318</v>
      </c>
      <c r="G2556" s="1">
        <v>5</v>
      </c>
      <c r="H2556" s="1">
        <v>2</v>
      </c>
      <c r="I2556" s="1">
        <v>3</v>
      </c>
      <c r="J2556" s="1">
        <v>2.5</v>
      </c>
      <c r="K2556" s="1">
        <v>2</v>
      </c>
      <c r="L2556" s="1">
        <v>1</v>
      </c>
      <c r="M2556" s="4">
        <v>1522</v>
      </c>
      <c r="N2556" s="1">
        <v>2977</v>
      </c>
      <c r="O2556" s="1">
        <v>3860</v>
      </c>
      <c r="P2556" s="1">
        <v>883</v>
      </c>
      <c r="Q2556" s="1" t="s">
        <v>42</v>
      </c>
      <c r="S2556" s="1" t="s">
        <v>42</v>
      </c>
      <c r="T2556" s="1" t="s">
        <v>203</v>
      </c>
      <c r="U2556" s="1">
        <v>12</v>
      </c>
      <c r="V2556" s="5">
        <v>44314</v>
      </c>
      <c r="W2556" s="5">
        <v>43221</v>
      </c>
      <c r="X2556" s="1">
        <v>2900000</v>
      </c>
      <c r="Y2556" s="1">
        <v>2900000</v>
      </c>
      <c r="Z2556" s="5">
        <v>43233</v>
      </c>
      <c r="AA2556" s="1">
        <v>2900000</v>
      </c>
      <c r="AB2556" s="1" t="s">
        <v>1959</v>
      </c>
      <c r="AC2556" s="5">
        <v>43357</v>
      </c>
      <c r="AF2556" s="1">
        <v>10002</v>
      </c>
      <c r="AI2556" s="1" t="s">
        <v>45</v>
      </c>
      <c r="AJ2556" s="1">
        <v>2018</v>
      </c>
      <c r="AK2556" s="1" t="s">
        <v>50</v>
      </c>
      <c r="AL2556" s="1">
        <v>55</v>
      </c>
    </row>
    <row r="2557" spans="1:38" x14ac:dyDescent="0.2">
      <c r="A2557" s="2" t="str">
        <f>HYPERLINK("https://www.compass.com/listing/242-broome-street-unit-12a-manhattan-ny-10002/28301820199801233/","242 Broome St, Unit 12A")</f>
        <v>242 Broome St, Unit 12A</v>
      </c>
      <c r="B2557" s="2" t="str">
        <f t="shared" si="408"/>
        <v>242 Broome, Essex Crossing</v>
      </c>
      <c r="C2557" s="1" t="s">
        <v>84</v>
      </c>
      <c r="D2557" s="1" t="s">
        <v>41</v>
      </c>
      <c r="E2557" s="3">
        <v>2750000</v>
      </c>
      <c r="F2557" s="1">
        <v>2032.52032520325</v>
      </c>
      <c r="G2557" s="1">
        <v>5</v>
      </c>
      <c r="H2557" s="1">
        <v>2</v>
      </c>
      <c r="I2557" s="1">
        <v>3</v>
      </c>
      <c r="J2557" s="1">
        <v>2.5</v>
      </c>
      <c r="K2557" s="1">
        <v>2</v>
      </c>
      <c r="L2557" s="1">
        <v>1</v>
      </c>
      <c r="M2557" s="4">
        <v>1353</v>
      </c>
      <c r="N2557" s="1">
        <v>2685</v>
      </c>
      <c r="O2557" s="1">
        <v>3482</v>
      </c>
      <c r="P2557" s="1">
        <v>797</v>
      </c>
      <c r="Q2557" s="1" t="s">
        <v>42</v>
      </c>
      <c r="S2557" s="1" t="s">
        <v>42</v>
      </c>
      <c r="T2557" s="1" t="s">
        <v>203</v>
      </c>
      <c r="U2557" s="1">
        <v>118</v>
      </c>
      <c r="V2557" s="5">
        <v>44314</v>
      </c>
      <c r="W2557" s="5">
        <v>43340</v>
      </c>
      <c r="X2557" s="1">
        <v>2955000</v>
      </c>
      <c r="Y2557" s="1">
        <v>2955000</v>
      </c>
      <c r="Z2557" s="5">
        <v>43458</v>
      </c>
      <c r="AA2557" s="1">
        <v>2750000</v>
      </c>
      <c r="AB2557" s="1" t="s">
        <v>1960</v>
      </c>
      <c r="AC2557" s="5">
        <v>43511</v>
      </c>
      <c r="AF2557" s="1">
        <v>10002</v>
      </c>
      <c r="AI2557" s="1" t="s">
        <v>45</v>
      </c>
      <c r="AJ2557" s="1">
        <v>2018</v>
      </c>
      <c r="AK2557" s="1" t="s">
        <v>50</v>
      </c>
      <c r="AL2557" s="1">
        <v>55</v>
      </c>
    </row>
    <row r="2558" spans="1:38" x14ac:dyDescent="0.2">
      <c r="A2558" s="2" t="str">
        <f>HYPERLINK("https://www.compass.com/listing/242-broome-street-unit-11e-manhattan-ny-10002/29514979556221905/","242 Broome St, Unit 11E")</f>
        <v>242 Broome St, Unit 11E</v>
      </c>
      <c r="B2558" s="2" t="str">
        <f t="shared" si="408"/>
        <v>242 Broome, Essex Crossing</v>
      </c>
      <c r="C2558" s="1" t="s">
        <v>84</v>
      </c>
      <c r="D2558" s="1" t="s">
        <v>41</v>
      </c>
      <c r="E2558" s="3">
        <v>2635000</v>
      </c>
      <c r="F2558" s="1">
        <v>2151.0204081632601</v>
      </c>
      <c r="G2558" s="1">
        <v>4</v>
      </c>
      <c r="H2558" s="1">
        <v>2</v>
      </c>
      <c r="I2558" s="1">
        <v>2</v>
      </c>
      <c r="J2558" s="1">
        <v>2</v>
      </c>
      <c r="K2558" s="1">
        <v>2</v>
      </c>
      <c r="M2558" s="4">
        <v>1225</v>
      </c>
      <c r="N2558" s="1">
        <v>2419</v>
      </c>
      <c r="O2558" s="1">
        <v>3137</v>
      </c>
      <c r="P2558" s="1">
        <v>718</v>
      </c>
      <c r="Q2558" s="1" t="s">
        <v>42</v>
      </c>
      <c r="S2558" s="1" t="s">
        <v>42</v>
      </c>
      <c r="T2558" s="1" t="s">
        <v>203</v>
      </c>
      <c r="U2558" s="1">
        <v>13</v>
      </c>
      <c r="V2558" s="5">
        <v>44314</v>
      </c>
      <c r="W2558" s="5">
        <v>43239</v>
      </c>
      <c r="X2558" s="1">
        <v>2725000</v>
      </c>
      <c r="Y2558" s="1">
        <v>2725000</v>
      </c>
      <c r="Z2558" s="5">
        <v>43252</v>
      </c>
      <c r="AA2558" s="1">
        <v>2635000</v>
      </c>
      <c r="AB2558" s="1" t="s">
        <v>1961</v>
      </c>
      <c r="AC2558" s="5">
        <v>43304</v>
      </c>
      <c r="AF2558" s="1">
        <v>10002</v>
      </c>
      <c r="AI2558" s="1" t="s">
        <v>45</v>
      </c>
      <c r="AJ2558" s="1">
        <v>2018</v>
      </c>
      <c r="AK2558" s="1" t="s">
        <v>50</v>
      </c>
      <c r="AL2558" s="1">
        <v>55</v>
      </c>
    </row>
    <row r="2559" spans="1:38" x14ac:dyDescent="0.2">
      <c r="A2559" s="2" t="str">
        <f>HYPERLINK("https://www.compass.com/listing/242-broome-street-unit-8c-manhattan-ny-10002/783680619899376113/","242 Broome St, Unit 8C")</f>
        <v>242 Broome St, Unit 8C</v>
      </c>
      <c r="B2559" s="2" t="str">
        <f t="shared" si="408"/>
        <v>242 Broome, Essex Crossing</v>
      </c>
      <c r="C2559" s="1" t="s">
        <v>84</v>
      </c>
      <c r="D2559" s="1" t="s">
        <v>41</v>
      </c>
      <c r="E2559" s="3">
        <v>3049659</v>
      </c>
      <c r="F2559" s="1">
        <v>1953.65711082639</v>
      </c>
      <c r="G2559" s="1">
        <v>5</v>
      </c>
      <c r="H2559" s="1">
        <v>2</v>
      </c>
      <c r="I2559" s="1">
        <v>3</v>
      </c>
      <c r="J2559" s="1">
        <v>2.5</v>
      </c>
      <c r="M2559" s="4">
        <v>1561</v>
      </c>
      <c r="N2559" s="1">
        <v>3038</v>
      </c>
      <c r="O2559" s="1">
        <v>3940</v>
      </c>
      <c r="P2559" s="1">
        <v>902</v>
      </c>
      <c r="Q2559" s="1" t="s">
        <v>42</v>
      </c>
      <c r="S2559" s="1" t="s">
        <v>42</v>
      </c>
      <c r="T2559" s="1" t="s">
        <v>203</v>
      </c>
      <c r="U2559" s="1">
        <v>265</v>
      </c>
      <c r="V2559" s="5">
        <v>43259</v>
      </c>
      <c r="W2559" s="5">
        <v>42579</v>
      </c>
      <c r="X2559" s="1">
        <v>2925000</v>
      </c>
      <c r="Y2559" s="1">
        <v>2925000</v>
      </c>
      <c r="AA2559" s="1">
        <v>3049658.75</v>
      </c>
      <c r="AB2559" s="1" t="s">
        <v>1962</v>
      </c>
      <c r="AC2559" s="5">
        <v>43341</v>
      </c>
      <c r="AF2559" s="1">
        <v>10002</v>
      </c>
      <c r="AI2559" s="1" t="s">
        <v>45</v>
      </c>
      <c r="AJ2559" s="1">
        <v>2018</v>
      </c>
      <c r="AK2559" s="1" t="s">
        <v>81</v>
      </c>
      <c r="AL2559" s="1">
        <v>55</v>
      </c>
    </row>
    <row r="2560" spans="1:38" x14ac:dyDescent="0.2">
      <c r="A2560" s="2" t="str">
        <f>HYPERLINK("https://www.compass.com/listing/242-broome-street-unit-8b-manhattan-ny-10002/29514978138615297/","242 Broome St, Unit 8B")</f>
        <v>242 Broome St, Unit 8B</v>
      </c>
      <c r="B2560" s="2" t="str">
        <f t="shared" si="408"/>
        <v>242 Broome, Essex Crossing</v>
      </c>
      <c r="C2560" s="1" t="s">
        <v>84</v>
      </c>
      <c r="D2560" s="1" t="s">
        <v>41</v>
      </c>
      <c r="E2560" s="3">
        <v>1301018</v>
      </c>
      <c r="F2560" s="1">
        <v>1683.0763260025799</v>
      </c>
      <c r="G2560" s="1">
        <v>3</v>
      </c>
      <c r="H2560" s="1">
        <v>1</v>
      </c>
      <c r="I2560" s="1">
        <v>1</v>
      </c>
      <c r="J2560" s="1">
        <v>1</v>
      </c>
      <c r="K2560" s="1">
        <v>1</v>
      </c>
      <c r="M2560" s="1">
        <v>773</v>
      </c>
      <c r="N2560" s="1">
        <v>1505</v>
      </c>
      <c r="O2560" s="1">
        <v>2082</v>
      </c>
      <c r="P2560" s="1">
        <v>577</v>
      </c>
      <c r="Q2560" s="1" t="s">
        <v>42</v>
      </c>
      <c r="S2560" s="1" t="s">
        <v>42</v>
      </c>
      <c r="T2560" s="1" t="s">
        <v>203</v>
      </c>
      <c r="U2560" s="1">
        <v>42</v>
      </c>
      <c r="V2560" s="5">
        <v>44314</v>
      </c>
      <c r="W2560" s="5">
        <v>42641</v>
      </c>
      <c r="X2560" s="1">
        <v>1275000</v>
      </c>
      <c r="Y2560" s="1">
        <v>1275000</v>
      </c>
      <c r="Z2560" s="5">
        <v>42683</v>
      </c>
      <c r="AA2560" s="1">
        <v>1301018.75</v>
      </c>
      <c r="AB2560" s="1" t="s">
        <v>1963</v>
      </c>
      <c r="AC2560" s="5">
        <v>43304</v>
      </c>
      <c r="AF2560" s="1">
        <v>10002</v>
      </c>
      <c r="AI2560" s="1" t="s">
        <v>177</v>
      </c>
      <c r="AJ2560" s="1">
        <v>2018</v>
      </c>
      <c r="AK2560" s="1" t="s">
        <v>50</v>
      </c>
      <c r="AL2560" s="1">
        <v>55</v>
      </c>
    </row>
    <row r="2561" spans="1:38" x14ac:dyDescent="0.2">
      <c r="A2561" s="2" t="str">
        <f>HYPERLINK("https://www.compass.com/listing/242-broome-street-unit-9f-manhattan-ny-10002/29514975487746817/","242 Broome St, Unit 9F")</f>
        <v>242 Broome St, Unit 9F</v>
      </c>
      <c r="B2561" s="2" t="str">
        <f t="shared" si="408"/>
        <v>242 Broome, Essex Crossing</v>
      </c>
      <c r="C2561" s="1" t="s">
        <v>84</v>
      </c>
      <c r="D2561" s="1" t="s">
        <v>41</v>
      </c>
      <c r="E2561" s="3">
        <v>2464625</v>
      </c>
      <c r="F2561" s="1">
        <v>2013.5825163398599</v>
      </c>
      <c r="G2561" s="1">
        <v>3</v>
      </c>
      <c r="H2561" s="1">
        <v>1</v>
      </c>
      <c r="I2561" s="1">
        <v>1</v>
      </c>
      <c r="J2561" s="1">
        <v>1</v>
      </c>
      <c r="K2561" s="1">
        <v>1</v>
      </c>
      <c r="M2561" s="4">
        <v>1224</v>
      </c>
      <c r="N2561" s="1">
        <v>2394</v>
      </c>
      <c r="O2561" s="1">
        <v>3104</v>
      </c>
      <c r="P2561" s="1">
        <v>710</v>
      </c>
      <c r="Q2561" s="1" t="s">
        <v>42</v>
      </c>
      <c r="S2561" s="1" t="s">
        <v>42</v>
      </c>
      <c r="T2561" s="1" t="s">
        <v>203</v>
      </c>
      <c r="V2561" s="5">
        <v>44314</v>
      </c>
      <c r="W2561" s="5">
        <v>42930</v>
      </c>
      <c r="X2561" s="1">
        <v>2545000</v>
      </c>
      <c r="Y2561" s="1">
        <v>2545000</v>
      </c>
      <c r="Z2561" s="5">
        <v>42930</v>
      </c>
      <c r="AA2561" s="1">
        <v>2464625</v>
      </c>
      <c r="AB2561" s="1" t="s">
        <v>1964</v>
      </c>
      <c r="AC2561" s="5">
        <v>43301</v>
      </c>
      <c r="AF2561" s="1">
        <v>10002</v>
      </c>
      <c r="AI2561" s="1" t="s">
        <v>45</v>
      </c>
      <c r="AJ2561" s="1">
        <v>2018</v>
      </c>
      <c r="AK2561" s="1" t="s">
        <v>50</v>
      </c>
      <c r="AL2561" s="1">
        <v>55</v>
      </c>
    </row>
    <row r="2562" spans="1:38" x14ac:dyDescent="0.2">
      <c r="A2562" s="2" t="str">
        <f>HYPERLINK("https://www.compass.com/listing/150-rivington-street-unit-4i-manhattan-ny-10002/165104140819675361/","150 Rivington St, Unit 4I")</f>
        <v>150 Rivington St, Unit 4I</v>
      </c>
      <c r="B2562" s="2" t="str">
        <f t="shared" ref="B2562:B2563" si="409">HYPERLINK("https://www.compass.com/building/150-rivington-street-manhattan-ny/282058947895000453/","150 Rivington Street")</f>
        <v>150 Rivington Street</v>
      </c>
      <c r="C2562" s="1" t="s">
        <v>84</v>
      </c>
      <c r="D2562" s="1" t="s">
        <v>41</v>
      </c>
      <c r="E2562" s="3">
        <v>1714025</v>
      </c>
      <c r="F2562" s="1">
        <v>1983.8252314814799</v>
      </c>
      <c r="G2562" s="1">
        <v>4</v>
      </c>
      <c r="H2562" s="1">
        <v>2</v>
      </c>
      <c r="I2562" s="1">
        <v>2</v>
      </c>
      <c r="J2562" s="1">
        <v>2</v>
      </c>
      <c r="K2562" s="1">
        <v>2</v>
      </c>
      <c r="M2562" s="1">
        <v>864</v>
      </c>
      <c r="N2562" s="1">
        <v>1211</v>
      </c>
      <c r="O2562" s="1">
        <v>2469</v>
      </c>
      <c r="P2562" s="1">
        <v>1258</v>
      </c>
      <c r="Q2562" s="1" t="s">
        <v>42</v>
      </c>
      <c r="S2562" s="1" t="s">
        <v>42</v>
      </c>
      <c r="T2562" s="1" t="s">
        <v>203</v>
      </c>
      <c r="U2562" s="1">
        <v>21</v>
      </c>
      <c r="V2562" s="5">
        <v>43694</v>
      </c>
      <c r="W2562" s="5">
        <v>43481</v>
      </c>
      <c r="X2562" s="1">
        <v>1750000</v>
      </c>
      <c r="Y2562" s="1">
        <v>1750000</v>
      </c>
      <c r="Z2562" s="5">
        <v>43502</v>
      </c>
      <c r="AA2562" s="1">
        <v>1714025</v>
      </c>
      <c r="AB2562" s="1" t="s">
        <v>1965</v>
      </c>
      <c r="AC2562" s="5">
        <v>43628</v>
      </c>
      <c r="AF2562" s="1">
        <v>10002</v>
      </c>
      <c r="AI2562" s="1" t="s">
        <v>1934</v>
      </c>
      <c r="AJ2562" s="1">
        <v>2019</v>
      </c>
      <c r="AK2562" s="1" t="s">
        <v>87</v>
      </c>
      <c r="AL2562" s="1">
        <v>45</v>
      </c>
    </row>
    <row r="2563" spans="1:38" x14ac:dyDescent="0.2">
      <c r="A2563" s="2" t="str">
        <f>HYPERLINK("https://www.compass.com/listing/150-rivington-street-unit-3h-manhattan-ny-10002/35263229802342945/","150 Rivington St, Unit 3H")</f>
        <v>150 Rivington St, Unit 3H</v>
      </c>
      <c r="B2563" s="2" t="str">
        <f t="shared" si="409"/>
        <v>150 Rivington Street</v>
      </c>
      <c r="C2563" s="1" t="s">
        <v>84</v>
      </c>
      <c r="D2563" s="1" t="s">
        <v>41</v>
      </c>
      <c r="E2563" s="3">
        <v>1550000</v>
      </c>
      <c r="F2563" s="1">
        <v>1793.9814814814799</v>
      </c>
      <c r="G2563" s="1">
        <v>4</v>
      </c>
      <c r="H2563" s="1">
        <v>2</v>
      </c>
      <c r="I2563" s="1">
        <v>2</v>
      </c>
      <c r="J2563" s="1">
        <v>2</v>
      </c>
      <c r="K2563" s="1">
        <v>2</v>
      </c>
      <c r="M2563" s="1">
        <v>864</v>
      </c>
      <c r="N2563" s="1">
        <v>1205</v>
      </c>
      <c r="O2563" s="1">
        <v>2457</v>
      </c>
      <c r="P2563" s="1">
        <v>1252</v>
      </c>
      <c r="Q2563" s="1" t="s">
        <v>42</v>
      </c>
      <c r="S2563" s="1" t="s">
        <v>42</v>
      </c>
      <c r="T2563" s="1" t="s">
        <v>203</v>
      </c>
      <c r="U2563" s="1">
        <v>48</v>
      </c>
      <c r="V2563" s="5">
        <v>43678</v>
      </c>
      <c r="W2563" s="5">
        <v>43301</v>
      </c>
      <c r="X2563" s="1">
        <v>1695000</v>
      </c>
      <c r="Y2563" s="1">
        <v>1695000</v>
      </c>
      <c r="Z2563" s="5">
        <v>43421</v>
      </c>
      <c r="AA2563" s="1">
        <v>1550000</v>
      </c>
      <c r="AB2563" s="1" t="s">
        <v>1966</v>
      </c>
      <c r="AC2563" s="5">
        <v>43587</v>
      </c>
      <c r="AF2563" s="1">
        <v>10002</v>
      </c>
      <c r="AI2563" s="1" t="s">
        <v>1934</v>
      </c>
      <c r="AJ2563" s="1">
        <v>2019</v>
      </c>
      <c r="AK2563" s="1" t="s">
        <v>87</v>
      </c>
      <c r="AL2563" s="1">
        <v>45</v>
      </c>
    </row>
    <row r="2564" spans="1:38" x14ac:dyDescent="0.2">
      <c r="A2564" s="2" t="str">
        <f>HYPERLINK("https://www.compass.com/listing/287-east-houston-street-unit-6b-manhattan-ny-10002/29669373018912593/","287 E Houston St, Unit 6B")</f>
        <v>287 E Houston St, Unit 6B</v>
      </c>
      <c r="B2564" s="2" t="str">
        <f t="shared" ref="B2564:B2565" si="410">HYPERLINK("https://www.compass.com/building/287-les-manhattan-ny/281886930822496357/","287/LES")</f>
        <v>287/LES</v>
      </c>
      <c r="C2564" s="1" t="s">
        <v>84</v>
      </c>
      <c r="D2564" s="1" t="s">
        <v>41</v>
      </c>
      <c r="E2564" s="3">
        <v>1504720</v>
      </c>
      <c r="F2564" s="1">
        <v>2006.2933333333301</v>
      </c>
      <c r="G2564" s="1">
        <v>3</v>
      </c>
      <c r="H2564" s="1">
        <v>1</v>
      </c>
      <c r="I2564" s="1">
        <v>1</v>
      </c>
      <c r="J2564" s="1">
        <v>1</v>
      </c>
      <c r="K2564" s="1">
        <v>1</v>
      </c>
      <c r="M2564" s="1">
        <v>750</v>
      </c>
      <c r="N2564" s="1">
        <v>1223</v>
      </c>
      <c r="O2564" s="1">
        <v>1945</v>
      </c>
      <c r="P2564" s="1">
        <v>722</v>
      </c>
      <c r="Q2564" s="1" t="s">
        <v>42</v>
      </c>
      <c r="S2564" s="1" t="s">
        <v>42</v>
      </c>
      <c r="T2564" s="1" t="s">
        <v>203</v>
      </c>
      <c r="U2564" s="1">
        <v>82</v>
      </c>
      <c r="V2564" s="5">
        <v>43644</v>
      </c>
      <c r="W2564" s="5">
        <v>42855</v>
      </c>
      <c r="X2564" s="1">
        <v>1525000</v>
      </c>
      <c r="Y2564" s="1">
        <v>1525000</v>
      </c>
      <c r="Z2564" s="5">
        <v>42937</v>
      </c>
      <c r="AA2564" s="1">
        <v>1504720</v>
      </c>
      <c r="AB2564" s="1" t="s">
        <v>1967</v>
      </c>
      <c r="AC2564" s="5">
        <v>43552</v>
      </c>
      <c r="AF2564" s="1">
        <v>10002</v>
      </c>
      <c r="AI2564" s="1" t="s">
        <v>45</v>
      </c>
      <c r="AJ2564" s="1">
        <v>2018</v>
      </c>
      <c r="AK2564" s="1" t="s">
        <v>178</v>
      </c>
      <c r="AL2564" s="1">
        <v>27</v>
      </c>
    </row>
    <row r="2565" spans="1:38" x14ac:dyDescent="0.2">
      <c r="A2565" s="2" t="str">
        <f>HYPERLINK("https://www.compass.com/listing/287-east-houston-street-unit-7b-manhattan-ny-10002/29669390240725761/","287 E Houston St, Unit 7B")</f>
        <v>287 E Houston St, Unit 7B</v>
      </c>
      <c r="B2565" s="2" t="str">
        <f t="shared" si="410"/>
        <v>287/LES</v>
      </c>
      <c r="C2565" s="1" t="s">
        <v>84</v>
      </c>
      <c r="D2565" s="1" t="s">
        <v>41</v>
      </c>
      <c r="E2565" s="3">
        <v>1555061</v>
      </c>
      <c r="F2565" s="1">
        <v>2073.4146666666602</v>
      </c>
      <c r="G2565" s="1">
        <v>3</v>
      </c>
      <c r="H2565" s="1">
        <v>1</v>
      </c>
      <c r="I2565" s="1">
        <v>1</v>
      </c>
      <c r="J2565" s="1">
        <v>1</v>
      </c>
      <c r="K2565" s="1">
        <v>1</v>
      </c>
      <c r="M2565" s="1">
        <v>750</v>
      </c>
      <c r="N2565" s="1">
        <v>1237</v>
      </c>
      <c r="O2565" s="1">
        <v>1967</v>
      </c>
      <c r="P2565" s="1">
        <v>730</v>
      </c>
      <c r="Q2565" s="1" t="s">
        <v>42</v>
      </c>
      <c r="S2565" s="1" t="s">
        <v>42</v>
      </c>
      <c r="T2565" s="1" t="s">
        <v>203</v>
      </c>
      <c r="U2565" s="1">
        <v>227</v>
      </c>
      <c r="V2565" s="5">
        <v>43687</v>
      </c>
      <c r="W2565" s="5">
        <v>42627</v>
      </c>
      <c r="X2565" s="1">
        <v>1575000</v>
      </c>
      <c r="Y2565" s="1">
        <v>1575000</v>
      </c>
      <c r="Z2565" s="5">
        <v>43021</v>
      </c>
      <c r="AA2565" s="1">
        <v>1555061.63</v>
      </c>
      <c r="AB2565" s="1" t="s">
        <v>1968</v>
      </c>
      <c r="AC2565" s="5">
        <v>43567</v>
      </c>
      <c r="AF2565" s="1">
        <v>10002</v>
      </c>
      <c r="AI2565" s="1" t="s">
        <v>45</v>
      </c>
      <c r="AJ2565" s="1">
        <v>2018</v>
      </c>
      <c r="AK2565" s="1" t="s">
        <v>1902</v>
      </c>
      <c r="AL2565" s="1">
        <v>27</v>
      </c>
    </row>
    <row r="2566" spans="1:38" x14ac:dyDescent="0.2">
      <c r="A2566" s="2" t="str">
        <f>HYPERLINK("https://www.compass.com/listing/150-rivington-street-unit-5d-manhattan-ny-10002/281701824459755521/","150 Rivington St, Unit 5D")</f>
        <v>150 Rivington St, Unit 5D</v>
      </c>
      <c r="B2566" s="2" t="str">
        <f t="shared" ref="B2566:B2567" si="411">HYPERLINK("https://www.compass.com/building/150-rivington-street-manhattan-ny/282058947895000453/","150 Rivington Street")</f>
        <v>150 Rivington Street</v>
      </c>
      <c r="C2566" s="1" t="s">
        <v>84</v>
      </c>
      <c r="D2566" s="1" t="s">
        <v>41</v>
      </c>
      <c r="E2566" s="3">
        <v>1395000</v>
      </c>
      <c r="F2566" s="1">
        <v>2010.08645533141</v>
      </c>
      <c r="G2566" s="1">
        <v>3</v>
      </c>
      <c r="H2566" s="1">
        <v>1</v>
      </c>
      <c r="I2566" s="1">
        <v>1</v>
      </c>
      <c r="J2566" s="1">
        <v>1</v>
      </c>
      <c r="K2566" s="1">
        <v>1</v>
      </c>
      <c r="M2566" s="1">
        <v>694</v>
      </c>
      <c r="N2566" s="1">
        <v>978</v>
      </c>
      <c r="O2566" s="1">
        <v>1994</v>
      </c>
      <c r="P2566" s="1">
        <v>1016</v>
      </c>
      <c r="Q2566" s="1" t="s">
        <v>42</v>
      </c>
      <c r="S2566" s="1" t="s">
        <v>42</v>
      </c>
      <c r="T2566" s="1" t="s">
        <v>203</v>
      </c>
      <c r="U2566" s="1">
        <v>280</v>
      </c>
      <c r="V2566" s="5">
        <v>43678</v>
      </c>
      <c r="W2566" s="5">
        <v>42892</v>
      </c>
      <c r="X2566" s="1">
        <v>1395000</v>
      </c>
      <c r="Y2566" s="1">
        <v>1395000</v>
      </c>
      <c r="Z2566" s="5">
        <v>43173</v>
      </c>
      <c r="AA2566" s="1">
        <v>1395000</v>
      </c>
      <c r="AB2566" s="1" t="s">
        <v>1969</v>
      </c>
      <c r="AC2566" s="5">
        <v>43626</v>
      </c>
      <c r="AF2566" s="1">
        <v>10002</v>
      </c>
      <c r="AI2566" s="1" t="s">
        <v>1934</v>
      </c>
      <c r="AJ2566" s="1">
        <v>2019</v>
      </c>
      <c r="AK2566" s="1" t="s">
        <v>87</v>
      </c>
      <c r="AL2566" s="1">
        <v>45</v>
      </c>
    </row>
    <row r="2567" spans="1:38" x14ac:dyDescent="0.2">
      <c r="A2567" s="2" t="str">
        <f>HYPERLINK("https://www.compass.com/listing/150-rivington-street-unit-6d-manhattan-ny-10002/29514483076435953/","150 Rivington St, Unit 6D")</f>
        <v>150 Rivington St, Unit 6D</v>
      </c>
      <c r="B2567" s="2" t="str">
        <f t="shared" si="411"/>
        <v>150 Rivington Street</v>
      </c>
      <c r="C2567" s="1" t="s">
        <v>84</v>
      </c>
      <c r="D2567" s="1" t="s">
        <v>41</v>
      </c>
      <c r="E2567" s="3">
        <v>1425000</v>
      </c>
      <c r="F2567" s="1">
        <v>2053.3141210374602</v>
      </c>
      <c r="G2567" s="1">
        <v>3</v>
      </c>
      <c r="H2567" s="1">
        <v>1</v>
      </c>
      <c r="I2567" s="1">
        <v>1</v>
      </c>
      <c r="J2567" s="1">
        <v>1</v>
      </c>
      <c r="K2567" s="1">
        <v>1</v>
      </c>
      <c r="M2567" s="1">
        <v>694</v>
      </c>
      <c r="N2567" s="1">
        <v>982</v>
      </c>
      <c r="O2567" s="1">
        <v>2003</v>
      </c>
      <c r="P2567" s="1">
        <v>1021</v>
      </c>
      <c r="Q2567" s="1" t="s">
        <v>42</v>
      </c>
      <c r="S2567" s="1" t="s">
        <v>42</v>
      </c>
      <c r="T2567" s="1" t="s">
        <v>203</v>
      </c>
      <c r="V2567" s="5">
        <v>43697</v>
      </c>
      <c r="W2567" s="5">
        <v>43204</v>
      </c>
      <c r="X2567" s="1">
        <v>1425000</v>
      </c>
      <c r="Y2567" s="1">
        <v>1425000</v>
      </c>
      <c r="Z2567" s="5">
        <v>43204</v>
      </c>
      <c r="AA2567" s="1">
        <v>1425000</v>
      </c>
      <c r="AB2567" s="1" t="s">
        <v>1970</v>
      </c>
      <c r="AC2567" s="5">
        <v>43635</v>
      </c>
      <c r="AF2567" s="1">
        <v>10002</v>
      </c>
      <c r="AI2567" s="1" t="s">
        <v>1945</v>
      </c>
      <c r="AJ2567" s="1">
        <v>2019</v>
      </c>
      <c r="AK2567" s="1" t="s">
        <v>87</v>
      </c>
      <c r="AL2567" s="1">
        <v>45</v>
      </c>
    </row>
    <row r="2568" spans="1:38" x14ac:dyDescent="0.2">
      <c r="A2568" s="2" t="str">
        <f>HYPERLINK("https://www.compass.com/listing/287-east-houston-street-unit-5a-manhattan-ny-10002/29669391155084081/","287 E Houston St, Unit 5A")</f>
        <v>287 E Houston St, Unit 5A</v>
      </c>
      <c r="B2568" s="2" t="str">
        <f>HYPERLINK("https://www.compass.com/building/287-les-manhattan-ny/281886930822496357/","287/LES")</f>
        <v>287/LES</v>
      </c>
      <c r="C2568" s="1" t="s">
        <v>84</v>
      </c>
      <c r="D2568" s="1" t="s">
        <v>41</v>
      </c>
      <c r="E2568" s="3">
        <v>1494282</v>
      </c>
      <c r="F2568" s="1">
        <v>1992.376</v>
      </c>
      <c r="G2568" s="1">
        <v>3</v>
      </c>
      <c r="H2568" s="1">
        <v>1</v>
      </c>
      <c r="I2568" s="1">
        <v>1</v>
      </c>
      <c r="J2568" s="1">
        <v>1</v>
      </c>
      <c r="K2568" s="1">
        <v>1</v>
      </c>
      <c r="M2568" s="1">
        <v>750</v>
      </c>
      <c r="N2568" s="1">
        <v>1179.06</v>
      </c>
      <c r="O2568" s="1">
        <v>1896.04</v>
      </c>
      <c r="P2568" s="1">
        <v>717</v>
      </c>
      <c r="Q2568" s="1" t="s">
        <v>42</v>
      </c>
      <c r="S2568" s="1" t="s">
        <v>42</v>
      </c>
      <c r="T2568" s="1" t="s">
        <v>203</v>
      </c>
      <c r="U2568" s="1">
        <v>6</v>
      </c>
      <c r="V2568" s="5">
        <v>43637</v>
      </c>
      <c r="W2568" s="5">
        <v>42937</v>
      </c>
      <c r="X2568" s="1">
        <v>1475000</v>
      </c>
      <c r="Y2568" s="1">
        <v>1475000</v>
      </c>
      <c r="Z2568" s="5">
        <v>42943</v>
      </c>
      <c r="AA2568" s="1">
        <v>1494282</v>
      </c>
      <c r="AB2568" s="1" t="s">
        <v>1971</v>
      </c>
      <c r="AC2568" s="5">
        <v>43550</v>
      </c>
      <c r="AF2568" s="1">
        <v>10002</v>
      </c>
      <c r="AI2568" s="1" t="s">
        <v>45</v>
      </c>
      <c r="AJ2568" s="1">
        <v>2018</v>
      </c>
      <c r="AK2568" s="1" t="s">
        <v>1902</v>
      </c>
      <c r="AL2568" s="1">
        <v>27</v>
      </c>
    </row>
    <row r="2569" spans="1:38" x14ac:dyDescent="0.2">
      <c r="A2569" s="2" t="str">
        <f>HYPERLINK("https://www.compass.com/listing/242-broome-street-unit-6b-manhattan-ny-10002/27574704181137601/","242 Broome St, Unit 6B")</f>
        <v>242 Broome St, Unit 6B</v>
      </c>
      <c r="B2569" s="2" t="str">
        <f>HYPERLINK("https://www.compass.com/building/242-broome-essex-crossing-manhattan-ny/292776610392708181/","242 Broome, Essex Crossing")</f>
        <v>242 Broome, Essex Crossing</v>
      </c>
      <c r="C2569" s="1" t="s">
        <v>84</v>
      </c>
      <c r="D2569" s="1" t="s">
        <v>41</v>
      </c>
      <c r="E2569" s="3">
        <v>3823733</v>
      </c>
      <c r="F2569" s="1">
        <v>1997.7706374085601</v>
      </c>
      <c r="G2569" s="1">
        <v>7</v>
      </c>
      <c r="H2569" s="1">
        <v>3</v>
      </c>
      <c r="I2569" s="1">
        <v>4</v>
      </c>
      <c r="J2569" s="1">
        <v>3.5</v>
      </c>
      <c r="K2569" s="1">
        <v>3</v>
      </c>
      <c r="L2569" s="1">
        <v>1</v>
      </c>
      <c r="M2569" s="4">
        <v>1914</v>
      </c>
      <c r="N2569" s="1">
        <v>4363</v>
      </c>
      <c r="O2569" s="1">
        <v>5658</v>
      </c>
      <c r="P2569" s="1">
        <v>1295</v>
      </c>
      <c r="Q2569" s="1" t="s">
        <v>42</v>
      </c>
      <c r="S2569" s="1" t="s">
        <v>42</v>
      </c>
      <c r="T2569" s="1" t="s">
        <v>203</v>
      </c>
      <c r="V2569" s="5">
        <v>44315</v>
      </c>
      <c r="W2569" s="5">
        <v>42704</v>
      </c>
      <c r="X2569" s="1">
        <v>3950000</v>
      </c>
      <c r="Y2569" s="1">
        <v>3950000</v>
      </c>
      <c r="Z2569" s="5">
        <v>42704</v>
      </c>
      <c r="AA2569" s="1">
        <v>3823733</v>
      </c>
      <c r="AB2569" s="1" t="s">
        <v>1972</v>
      </c>
      <c r="AC2569" s="5">
        <v>43278</v>
      </c>
      <c r="AF2569" s="1">
        <v>10002</v>
      </c>
      <c r="AI2569" s="1" t="s">
        <v>115</v>
      </c>
      <c r="AJ2569" s="1">
        <v>2018</v>
      </c>
      <c r="AK2569" s="1" t="s">
        <v>81</v>
      </c>
      <c r="AL2569" s="1">
        <v>55</v>
      </c>
    </row>
    <row r="2570" spans="1:38" x14ac:dyDescent="0.2">
      <c r="A2570" s="2" t="str">
        <f>HYPERLINK("https://www.compass.com/listing/150-rivington-street-unit-4a-manhattan-ny-10002/136763048521214369/","150 Rivington St, Unit 4A")</f>
        <v>150 Rivington St, Unit 4A</v>
      </c>
      <c r="B2570" s="2" t="str">
        <f>HYPERLINK("https://www.compass.com/building/150-rivington-street-manhattan-ny/282058947895000453/","150 Rivington Street")</f>
        <v>150 Rivington Street</v>
      </c>
      <c r="C2570" s="1" t="s">
        <v>84</v>
      </c>
      <c r="D2570" s="1" t="s">
        <v>41</v>
      </c>
      <c r="E2570" s="3">
        <v>2270000</v>
      </c>
      <c r="F2570" s="1">
        <v>1865.2423993426401</v>
      </c>
      <c r="G2570" s="1">
        <v>4</v>
      </c>
      <c r="H2570" s="1">
        <v>2</v>
      </c>
      <c r="I2570" s="1">
        <v>3</v>
      </c>
      <c r="J2570" s="1">
        <v>2.5</v>
      </c>
      <c r="K2570" s="1">
        <v>2</v>
      </c>
      <c r="L2570" s="1">
        <v>1</v>
      </c>
      <c r="M2570" s="4">
        <v>1217</v>
      </c>
      <c r="N2570" s="1">
        <v>1706</v>
      </c>
      <c r="O2570" s="1">
        <v>3479</v>
      </c>
      <c r="P2570" s="1">
        <v>1773</v>
      </c>
      <c r="Q2570" s="1" t="s">
        <v>42</v>
      </c>
      <c r="S2570" s="1" t="s">
        <v>42</v>
      </c>
      <c r="T2570" s="1" t="s">
        <v>203</v>
      </c>
      <c r="U2570" s="1">
        <v>83</v>
      </c>
      <c r="V2570" s="5">
        <v>43678</v>
      </c>
      <c r="W2570" s="5">
        <v>43560</v>
      </c>
      <c r="X2570" s="1">
        <v>2375000</v>
      </c>
      <c r="Y2570" s="1">
        <v>2375000</v>
      </c>
      <c r="Z2570" s="5">
        <v>43643</v>
      </c>
      <c r="AA2570" s="1">
        <v>2270000</v>
      </c>
      <c r="AB2570" s="1" t="s">
        <v>1973</v>
      </c>
      <c r="AC2570" s="5">
        <v>43644</v>
      </c>
      <c r="AF2570" s="1">
        <v>10002</v>
      </c>
      <c r="AI2570" s="1" t="s">
        <v>1934</v>
      </c>
      <c r="AJ2570" s="1">
        <v>2019</v>
      </c>
      <c r="AK2570" s="1" t="s">
        <v>87</v>
      </c>
      <c r="AL2570" s="1">
        <v>45</v>
      </c>
    </row>
    <row r="2571" spans="1:38" x14ac:dyDescent="0.2">
      <c r="A2571" s="2" t="str">
        <f>HYPERLINK("https://www.compass.com/listing/287-east-houston-street-unit-mais-b-manhattan-ny-10002/211514867239208033/","287 E Houston St, Unit MAIS-B")</f>
        <v>287 E Houston St, Unit MAIS-B</v>
      </c>
      <c r="B2571" s="2" t="str">
        <f>HYPERLINK("https://www.compass.com/building/287-les-manhattan-ny/281886930822496357/","287/LES")</f>
        <v>287/LES</v>
      </c>
      <c r="C2571" s="1" t="s">
        <v>84</v>
      </c>
      <c r="D2571" s="1" t="s">
        <v>41</v>
      </c>
      <c r="E2571" s="3">
        <v>2537500</v>
      </c>
      <c r="F2571" s="1">
        <v>1804.7652916073901</v>
      </c>
      <c r="G2571" s="1">
        <v>5.5</v>
      </c>
      <c r="H2571" s="1">
        <v>2</v>
      </c>
      <c r="I2571" s="1">
        <v>3</v>
      </c>
      <c r="J2571" s="1">
        <v>2.5</v>
      </c>
      <c r="K2571" s="1">
        <v>2</v>
      </c>
      <c r="L2571" s="1">
        <v>1</v>
      </c>
      <c r="M2571" s="4">
        <v>1406</v>
      </c>
      <c r="N2571" s="1">
        <v>1499</v>
      </c>
      <c r="O2571" s="1">
        <v>2553</v>
      </c>
      <c r="P2571" s="1">
        <v>1054</v>
      </c>
      <c r="Q2571" s="1" t="s">
        <v>42</v>
      </c>
      <c r="S2571" s="1" t="s">
        <v>42</v>
      </c>
      <c r="T2571" s="1" t="s">
        <v>203</v>
      </c>
      <c r="U2571" s="1">
        <v>176</v>
      </c>
      <c r="V2571" s="5">
        <v>43783</v>
      </c>
      <c r="W2571" s="5">
        <v>43543</v>
      </c>
      <c r="X2571" s="1">
        <v>2700000</v>
      </c>
      <c r="Y2571" s="1">
        <v>2700000</v>
      </c>
      <c r="Z2571" s="5">
        <v>43719</v>
      </c>
      <c r="AA2571" s="1">
        <v>2537500</v>
      </c>
      <c r="AB2571" s="1" t="s">
        <v>204</v>
      </c>
      <c r="AC2571" s="5">
        <v>43731</v>
      </c>
      <c r="AF2571" s="1">
        <v>10002</v>
      </c>
      <c r="AI2571" s="1" t="s">
        <v>998</v>
      </c>
      <c r="AJ2571" s="1">
        <v>2018</v>
      </c>
      <c r="AK2571" s="1" t="s">
        <v>178</v>
      </c>
      <c r="AL2571" s="1">
        <v>27</v>
      </c>
    </row>
    <row r="2572" spans="1:38" x14ac:dyDescent="0.2">
      <c r="A2572" s="2" t="str">
        <f>HYPERLINK("https://www.compass.com/listing/150-rivington-street-unit-5a-manhattan-ny-10002/243280044494011457/","150 Rivington St, Unit 5A")</f>
        <v>150 Rivington St, Unit 5A</v>
      </c>
      <c r="B2572" s="2" t="str">
        <f>HYPERLINK("https://www.compass.com/building/150-rivington-street-manhattan-ny/282058947895000453/","150 Rivington Street")</f>
        <v>150 Rivington Street</v>
      </c>
      <c r="C2572" s="1" t="s">
        <v>84</v>
      </c>
      <c r="D2572" s="1" t="s">
        <v>41</v>
      </c>
      <c r="E2572" s="3">
        <v>2475000</v>
      </c>
      <c r="F2572" s="1">
        <v>2033.68940016433</v>
      </c>
      <c r="G2572" s="1">
        <v>4</v>
      </c>
      <c r="H2572" s="1">
        <v>2</v>
      </c>
      <c r="I2572" s="1">
        <v>3</v>
      </c>
      <c r="J2572" s="1">
        <v>2.5</v>
      </c>
      <c r="K2572" s="1">
        <v>2</v>
      </c>
      <c r="L2572" s="1">
        <v>1</v>
      </c>
      <c r="M2572" s="4">
        <v>1217</v>
      </c>
      <c r="N2572" s="1">
        <v>1714</v>
      </c>
      <c r="O2572" s="1">
        <v>3495</v>
      </c>
      <c r="P2572" s="1">
        <v>1781</v>
      </c>
      <c r="Q2572" s="1" t="s">
        <v>42</v>
      </c>
      <c r="S2572" s="1" t="s">
        <v>42</v>
      </c>
      <c r="T2572" s="1" t="s">
        <v>203</v>
      </c>
      <c r="V2572" s="5">
        <v>43678</v>
      </c>
      <c r="W2572" s="5">
        <v>43553</v>
      </c>
      <c r="X2572" s="1">
        <v>2475000</v>
      </c>
      <c r="Y2572" s="1">
        <v>2475000</v>
      </c>
      <c r="Z2572" s="5">
        <v>43553</v>
      </c>
      <c r="AA2572" s="1">
        <v>2475000</v>
      </c>
      <c r="AB2572" s="1" t="s">
        <v>204</v>
      </c>
      <c r="AC2572" s="5">
        <v>43588</v>
      </c>
      <c r="AF2572" s="1">
        <v>10002</v>
      </c>
      <c r="AI2572" s="1" t="s">
        <v>1945</v>
      </c>
      <c r="AJ2572" s="1">
        <v>2019</v>
      </c>
      <c r="AK2572" s="1" t="s">
        <v>87</v>
      </c>
      <c r="AL2572" s="1">
        <v>45</v>
      </c>
    </row>
    <row r="2573" spans="1:38" x14ac:dyDescent="0.2">
      <c r="A2573" s="2" t="str">
        <f>HYPERLINK("https://www.compass.com/listing/287-east-houston-street-unit-mais-a-manhattan-ny-10002/262505196255560161/","287 E Houston St, Unit MAIS-A")</f>
        <v>287 E Houston St, Unit MAIS-A</v>
      </c>
      <c r="B2573" s="2" t="str">
        <f>HYPERLINK("https://www.compass.com/building/287-les-manhattan-ny/281886930822496357/","287/LES")</f>
        <v>287/LES</v>
      </c>
      <c r="C2573" s="1" t="s">
        <v>84</v>
      </c>
      <c r="D2573" s="1" t="s">
        <v>41</v>
      </c>
      <c r="E2573" s="3">
        <v>2565000</v>
      </c>
      <c r="F2573" s="1">
        <v>1856.0057887120099</v>
      </c>
      <c r="G2573" s="1">
        <v>4</v>
      </c>
      <c r="H2573" s="1">
        <v>2</v>
      </c>
      <c r="I2573" s="1">
        <v>3</v>
      </c>
      <c r="J2573" s="1">
        <v>2.5</v>
      </c>
      <c r="K2573" s="1">
        <v>2</v>
      </c>
      <c r="L2573" s="1">
        <v>1</v>
      </c>
      <c r="M2573" s="4">
        <v>1382</v>
      </c>
      <c r="N2573" s="1">
        <v>1362</v>
      </c>
      <c r="O2573" s="1">
        <v>3449</v>
      </c>
      <c r="P2573" s="1">
        <v>2087</v>
      </c>
      <c r="Q2573" s="1" t="s">
        <v>42</v>
      </c>
      <c r="S2573" s="1" t="s">
        <v>42</v>
      </c>
      <c r="T2573" s="1" t="s">
        <v>203</v>
      </c>
      <c r="U2573" s="1">
        <v>574</v>
      </c>
      <c r="V2573" s="5">
        <v>44331</v>
      </c>
      <c r="W2573" s="5">
        <v>43592</v>
      </c>
      <c r="Y2573" s="1">
        <v>2675000</v>
      </c>
      <c r="Z2573" s="5">
        <v>44260</v>
      </c>
      <c r="AA2573" s="1">
        <v>2565000</v>
      </c>
      <c r="AB2573" s="1" t="s">
        <v>204</v>
      </c>
      <c r="AC2573" s="5">
        <v>44326</v>
      </c>
      <c r="AF2573" s="1">
        <v>10002</v>
      </c>
      <c r="AI2573" s="1" t="s">
        <v>108</v>
      </c>
      <c r="AJ2573" s="1">
        <v>2018</v>
      </c>
      <c r="AK2573" s="1" t="s">
        <v>178</v>
      </c>
      <c r="AL2573" s="1">
        <v>27</v>
      </c>
    </row>
    <row r="2574" spans="1:38" x14ac:dyDescent="0.2">
      <c r="A2574" s="2" t="str">
        <f>HYPERLINK("https://www.compass.com/listing/150-rivington-street-unit-6a-manhattan-ny-10002/281701804134154577/","150 Rivington St, Unit 6A")</f>
        <v>150 Rivington St, Unit 6A</v>
      </c>
      <c r="B2574" s="2" t="str">
        <f t="shared" ref="B2574:B2578" si="412">HYPERLINK("https://www.compass.com/building/150-rivington-street-manhattan-ny/282058947895000453/","150 Rivington Street")</f>
        <v>150 Rivington Street</v>
      </c>
      <c r="C2574" s="1" t="s">
        <v>84</v>
      </c>
      <c r="D2574" s="1" t="s">
        <v>41</v>
      </c>
      <c r="E2574" s="3">
        <v>2545831</v>
      </c>
      <c r="F2574" s="1">
        <v>2091.8907148726298</v>
      </c>
      <c r="G2574" s="1">
        <v>4</v>
      </c>
      <c r="H2574" s="1">
        <v>2</v>
      </c>
      <c r="I2574" s="1">
        <v>3</v>
      </c>
      <c r="J2574" s="1">
        <v>2.5</v>
      </c>
      <c r="K2574" s="1">
        <v>2</v>
      </c>
      <c r="L2574" s="1">
        <v>1</v>
      </c>
      <c r="M2574" s="4">
        <v>1217</v>
      </c>
      <c r="N2574" s="1">
        <v>1723</v>
      </c>
      <c r="O2574" s="1">
        <v>3513</v>
      </c>
      <c r="P2574" s="1">
        <v>1790</v>
      </c>
      <c r="Q2574" s="1" t="s">
        <v>42</v>
      </c>
      <c r="S2574" s="1" t="s">
        <v>42</v>
      </c>
      <c r="T2574" s="1" t="s">
        <v>203</v>
      </c>
      <c r="V2574" s="5">
        <v>43697</v>
      </c>
      <c r="W2574" s="5">
        <v>42754</v>
      </c>
      <c r="X2574" s="1">
        <v>2525000</v>
      </c>
      <c r="Y2574" s="1">
        <v>2525000</v>
      </c>
      <c r="Z2574" s="5">
        <v>42754</v>
      </c>
      <c r="AA2574" s="1">
        <v>2545831</v>
      </c>
      <c r="AB2574" s="1" t="s">
        <v>1974</v>
      </c>
      <c r="AC2574" s="5">
        <v>43631</v>
      </c>
      <c r="AF2574" s="1">
        <v>10002</v>
      </c>
      <c r="AI2574" s="1" t="s">
        <v>1936</v>
      </c>
      <c r="AJ2574" s="1">
        <v>2019</v>
      </c>
      <c r="AK2574" s="1" t="s">
        <v>87</v>
      </c>
      <c r="AL2574" s="1">
        <v>45</v>
      </c>
    </row>
    <row r="2575" spans="1:38" x14ac:dyDescent="0.2">
      <c r="A2575" s="2" t="str">
        <f>HYPERLINK("https://www.compass.com/listing/150-rivington-street-unit-6e-manhattan-ny-10002/281701821163037281/","150 Rivington St, Unit 6E")</f>
        <v>150 Rivington St, Unit 6E</v>
      </c>
      <c r="B2575" s="2" t="str">
        <f t="shared" si="412"/>
        <v>150 Rivington Street</v>
      </c>
      <c r="C2575" s="1" t="s">
        <v>84</v>
      </c>
      <c r="D2575" s="1" t="s">
        <v>41</v>
      </c>
      <c r="E2575" s="3">
        <v>2380613</v>
      </c>
      <c r="F2575" s="1">
        <v>2226.9532273152399</v>
      </c>
      <c r="G2575" s="1">
        <v>4</v>
      </c>
      <c r="H2575" s="1">
        <v>2</v>
      </c>
      <c r="I2575" s="1">
        <v>2</v>
      </c>
      <c r="J2575" s="1">
        <v>2</v>
      </c>
      <c r="K2575" s="1">
        <v>2</v>
      </c>
      <c r="M2575" s="4">
        <v>1069</v>
      </c>
      <c r="N2575" s="1">
        <v>1513</v>
      </c>
      <c r="O2575" s="1">
        <v>3086</v>
      </c>
      <c r="P2575" s="1">
        <v>1573</v>
      </c>
      <c r="Q2575" s="1" t="s">
        <v>42</v>
      </c>
      <c r="S2575" s="1" t="s">
        <v>42</v>
      </c>
      <c r="T2575" s="1" t="s">
        <v>203</v>
      </c>
      <c r="U2575" s="1">
        <v>62</v>
      </c>
      <c r="V2575" s="5">
        <v>43694</v>
      </c>
      <c r="W2575" s="5">
        <v>42894</v>
      </c>
      <c r="X2575" s="1">
        <v>2335000</v>
      </c>
      <c r="Y2575" s="1">
        <v>2335000</v>
      </c>
      <c r="Z2575" s="5">
        <v>42956</v>
      </c>
      <c r="AA2575" s="1">
        <v>2380613</v>
      </c>
      <c r="AB2575" s="1" t="s">
        <v>1975</v>
      </c>
      <c r="AC2575" s="5">
        <v>43629</v>
      </c>
      <c r="AF2575" s="1">
        <v>10002</v>
      </c>
      <c r="AI2575" s="1" t="s">
        <v>1934</v>
      </c>
      <c r="AJ2575" s="1">
        <v>2019</v>
      </c>
      <c r="AK2575" s="1" t="s">
        <v>87</v>
      </c>
      <c r="AL2575" s="1">
        <v>45</v>
      </c>
    </row>
    <row r="2576" spans="1:38" x14ac:dyDescent="0.2">
      <c r="A2576" s="2" t="str">
        <f>HYPERLINK("https://www.compass.com/listing/150-rivington-street-unit-6f-manhattan-ny-10002/282526993138853809/","150 Rivington St, Unit 6F")</f>
        <v>150 Rivington St, Unit 6F</v>
      </c>
      <c r="B2576" s="2" t="str">
        <f t="shared" si="412"/>
        <v>150 Rivington Street</v>
      </c>
      <c r="C2576" s="1" t="s">
        <v>84</v>
      </c>
      <c r="D2576" s="1" t="s">
        <v>41</v>
      </c>
      <c r="E2576" s="3">
        <v>2213000</v>
      </c>
      <c r="F2576" s="1">
        <v>1988.3198562443799</v>
      </c>
      <c r="G2576" s="1">
        <v>4</v>
      </c>
      <c r="H2576" s="1">
        <v>2</v>
      </c>
      <c r="I2576" s="1">
        <v>3</v>
      </c>
      <c r="J2576" s="1">
        <v>2.5</v>
      </c>
      <c r="K2576" s="1">
        <v>2</v>
      </c>
      <c r="L2576" s="1">
        <v>1</v>
      </c>
      <c r="M2576" s="4">
        <v>1113</v>
      </c>
      <c r="N2576" s="1">
        <v>1575</v>
      </c>
      <c r="O2576" s="1">
        <v>3212</v>
      </c>
      <c r="P2576" s="1">
        <v>1637</v>
      </c>
      <c r="Q2576" s="1" t="s">
        <v>42</v>
      </c>
      <c r="S2576" s="1" t="s">
        <v>42</v>
      </c>
      <c r="T2576" s="1" t="s">
        <v>203</v>
      </c>
      <c r="U2576" s="1">
        <v>7</v>
      </c>
      <c r="V2576" s="5">
        <v>43678</v>
      </c>
      <c r="W2576" s="5">
        <v>42629</v>
      </c>
      <c r="X2576" s="1">
        <v>2260000</v>
      </c>
      <c r="Y2576" s="1">
        <v>2260000</v>
      </c>
      <c r="Z2576" s="5">
        <v>42636</v>
      </c>
      <c r="AA2576" s="1">
        <v>2213000</v>
      </c>
      <c r="AB2576" s="1" t="s">
        <v>1976</v>
      </c>
      <c r="AC2576" s="5">
        <v>43643</v>
      </c>
      <c r="AF2576" s="1">
        <v>10002</v>
      </c>
      <c r="AI2576" s="1" t="s">
        <v>1977</v>
      </c>
      <c r="AJ2576" s="1">
        <v>2019</v>
      </c>
      <c r="AK2576" s="1" t="s">
        <v>87</v>
      </c>
      <c r="AL2576" s="1">
        <v>45</v>
      </c>
    </row>
    <row r="2577" spans="1:38" x14ac:dyDescent="0.2">
      <c r="A2577" s="2" t="str">
        <f>HYPERLINK("https://www.compass.com/listing/150-rivington-street-unit-2a-manhattan-ny-10002/29514917597960625/","150 Rivington St, Unit 2A")</f>
        <v>150 Rivington St, Unit 2A</v>
      </c>
      <c r="B2577" s="2" t="str">
        <f t="shared" si="412"/>
        <v>150 Rivington Street</v>
      </c>
      <c r="C2577" s="1" t="s">
        <v>84</v>
      </c>
      <c r="D2577" s="1" t="s">
        <v>41</v>
      </c>
      <c r="E2577" s="3">
        <v>2425000</v>
      </c>
      <c r="F2577" s="1">
        <v>1995.8847736625501</v>
      </c>
      <c r="G2577" s="1">
        <v>4</v>
      </c>
      <c r="H2577" s="1">
        <v>2</v>
      </c>
      <c r="I2577" s="1">
        <v>3</v>
      </c>
      <c r="J2577" s="1">
        <v>2.5</v>
      </c>
      <c r="K2577" s="1">
        <v>2</v>
      </c>
      <c r="L2577" s="1">
        <v>1</v>
      </c>
      <c r="M2577" s="4">
        <v>1215</v>
      </c>
      <c r="N2577" s="1">
        <v>1920</v>
      </c>
      <c r="O2577" s="1">
        <v>3915</v>
      </c>
      <c r="P2577" s="1">
        <v>1995</v>
      </c>
      <c r="Q2577" s="1" t="s">
        <v>42</v>
      </c>
      <c r="S2577" s="1" t="s">
        <v>42</v>
      </c>
      <c r="T2577" s="1" t="s">
        <v>203</v>
      </c>
      <c r="V2577" s="5">
        <v>43678</v>
      </c>
      <c r="W2577" s="5">
        <v>42822</v>
      </c>
      <c r="X2577" s="1">
        <v>2425000</v>
      </c>
      <c r="Y2577" s="1">
        <v>2425000</v>
      </c>
      <c r="Z2577" s="5">
        <v>42822</v>
      </c>
      <c r="AA2577" s="1">
        <v>2425000</v>
      </c>
      <c r="AB2577" s="1" t="s">
        <v>1978</v>
      </c>
      <c r="AC2577" s="5">
        <v>43587</v>
      </c>
      <c r="AF2577" s="1">
        <v>10002</v>
      </c>
      <c r="AI2577" s="1" t="s">
        <v>1979</v>
      </c>
      <c r="AJ2577" s="1">
        <v>2019</v>
      </c>
      <c r="AK2577" s="1" t="s">
        <v>87</v>
      </c>
      <c r="AL2577" s="1">
        <v>45</v>
      </c>
    </row>
    <row r="2578" spans="1:38" x14ac:dyDescent="0.2">
      <c r="A2578" s="2" t="str">
        <f>HYPERLINK("https://www.compass.com/listing/150-rivington-street-unit-3d-manhattan-ny-10002/29514918864667809/","150 Rivington St, Unit 3D")</f>
        <v>150 Rivington St, Unit 3D</v>
      </c>
      <c r="B2578" s="2" t="str">
        <f t="shared" si="412"/>
        <v>150 Rivington Street</v>
      </c>
      <c r="C2578" s="1" t="s">
        <v>84</v>
      </c>
      <c r="D2578" s="1" t="s">
        <v>41</v>
      </c>
      <c r="E2578" s="3">
        <v>2120000</v>
      </c>
      <c r="F2578" s="1">
        <v>1985.01872659176</v>
      </c>
      <c r="G2578" s="1">
        <v>4</v>
      </c>
      <c r="H2578" s="1">
        <v>2</v>
      </c>
      <c r="I2578" s="1">
        <v>2</v>
      </c>
      <c r="J2578" s="1">
        <v>2</v>
      </c>
      <c r="K2578" s="1">
        <v>2</v>
      </c>
      <c r="M2578" s="4">
        <v>1068</v>
      </c>
      <c r="N2578" s="1">
        <v>1487</v>
      </c>
      <c r="O2578" s="1">
        <v>3032</v>
      </c>
      <c r="P2578" s="1">
        <v>1545</v>
      </c>
      <c r="Q2578" s="1" t="s">
        <v>42</v>
      </c>
      <c r="S2578" s="1" t="s">
        <v>42</v>
      </c>
      <c r="T2578" s="1" t="s">
        <v>203</v>
      </c>
      <c r="U2578" s="1">
        <v>632</v>
      </c>
      <c r="V2578" s="5">
        <v>43678</v>
      </c>
      <c r="W2578" s="5">
        <v>42528</v>
      </c>
      <c r="X2578" s="1">
        <v>2120000</v>
      </c>
      <c r="Y2578" s="1">
        <v>2120000</v>
      </c>
      <c r="Z2578" s="5">
        <v>43160</v>
      </c>
      <c r="AA2578" s="1">
        <v>2120000</v>
      </c>
      <c r="AB2578" s="1" t="s">
        <v>1980</v>
      </c>
      <c r="AC2578" s="5">
        <v>43591</v>
      </c>
      <c r="AF2578" s="1">
        <v>10002</v>
      </c>
      <c r="AI2578" s="1" t="s">
        <v>1936</v>
      </c>
      <c r="AJ2578" s="1">
        <v>2019</v>
      </c>
      <c r="AK2578" s="1" t="s">
        <v>428</v>
      </c>
      <c r="AL2578" s="1">
        <v>45</v>
      </c>
    </row>
    <row r="2579" spans="1:38" x14ac:dyDescent="0.2">
      <c r="A2579" s="2" t="str">
        <f>HYPERLINK("https://www.compass.com/listing/242-broome-street-unit-10c-manhattan-ny-10002/29638603361601361/","242 Broome St, Unit 10C")</f>
        <v>242 Broome St, Unit 10C</v>
      </c>
      <c r="B2579" s="2" t="str">
        <f>HYPERLINK("https://www.compass.com/building/242-broome-essex-crossing-manhattan-ny/292776610392708181/","242 Broome, Essex Crossing")</f>
        <v>242 Broome, Essex Crossing</v>
      </c>
      <c r="C2579" s="1" t="s">
        <v>84</v>
      </c>
      <c r="D2579" s="1" t="s">
        <v>41</v>
      </c>
      <c r="E2579" s="3">
        <v>2925000</v>
      </c>
      <c r="F2579" s="1">
        <v>1983.05084745762</v>
      </c>
      <c r="G2579" s="1">
        <v>5</v>
      </c>
      <c r="H2579" s="1">
        <v>2</v>
      </c>
      <c r="I2579" s="1">
        <v>3</v>
      </c>
      <c r="J2579" s="1">
        <v>2.5</v>
      </c>
      <c r="K2579" s="1">
        <v>2</v>
      </c>
      <c r="L2579" s="1">
        <v>1</v>
      </c>
      <c r="M2579" s="4">
        <v>1475</v>
      </c>
      <c r="N2579" s="1">
        <v>2899</v>
      </c>
      <c r="O2579" s="1">
        <v>3759</v>
      </c>
      <c r="P2579" s="1">
        <v>860</v>
      </c>
      <c r="Q2579" s="1" t="s">
        <v>42</v>
      </c>
      <c r="S2579" s="1" t="s">
        <v>42</v>
      </c>
      <c r="T2579" s="1" t="s">
        <v>203</v>
      </c>
      <c r="V2579" s="5">
        <v>44334</v>
      </c>
      <c r="W2579" s="5">
        <v>43188</v>
      </c>
      <c r="X2579" s="1">
        <v>3050000</v>
      </c>
      <c r="Y2579" s="1">
        <v>3050000</v>
      </c>
      <c r="Z2579" s="5">
        <v>43188</v>
      </c>
      <c r="AA2579" s="1">
        <v>2925000</v>
      </c>
      <c r="AB2579" s="1" t="s">
        <v>1981</v>
      </c>
      <c r="AC2579" s="5">
        <v>43291</v>
      </c>
      <c r="AF2579" s="1">
        <v>10002</v>
      </c>
      <c r="AI2579" s="1" t="s">
        <v>45</v>
      </c>
      <c r="AJ2579" s="1">
        <v>2018</v>
      </c>
      <c r="AK2579" s="1" t="s">
        <v>50</v>
      </c>
      <c r="AL2579" s="1">
        <v>55</v>
      </c>
    </row>
    <row r="2580" spans="1:38" x14ac:dyDescent="0.2">
      <c r="A2580" s="2" t="str">
        <f>HYPERLINK("https://www.compass.com/listing/150-rivington-street-unit-2d-manhattan-ny-10002/29641176223165697/","150 Rivington St, Unit 2D")</f>
        <v>150 Rivington St, Unit 2D</v>
      </c>
      <c r="B2580" s="2" t="str">
        <f>HYPERLINK("https://www.compass.com/building/150-rivington-street-manhattan-ny/282058947895000453/","150 Rivington Street")</f>
        <v>150 Rivington Street</v>
      </c>
      <c r="C2580" s="1" t="s">
        <v>84</v>
      </c>
      <c r="D2580" s="1" t="s">
        <v>41</v>
      </c>
      <c r="E2580" s="3">
        <v>2100000</v>
      </c>
      <c r="F2580" s="1">
        <v>1971.8309859154899</v>
      </c>
      <c r="G2580" s="1">
        <v>4</v>
      </c>
      <c r="H2580" s="1">
        <v>2</v>
      </c>
      <c r="I2580" s="1">
        <v>2</v>
      </c>
      <c r="J2580" s="1">
        <v>2</v>
      </c>
      <c r="K2580" s="1">
        <v>2</v>
      </c>
      <c r="M2580" s="4">
        <v>1065</v>
      </c>
      <c r="N2580" s="1">
        <v>1482</v>
      </c>
      <c r="O2580" s="1">
        <v>3469</v>
      </c>
      <c r="P2580" s="1">
        <v>1987</v>
      </c>
      <c r="Q2580" s="1" t="s">
        <v>42</v>
      </c>
      <c r="S2580" s="1" t="s">
        <v>42</v>
      </c>
      <c r="T2580" s="1" t="s">
        <v>203</v>
      </c>
      <c r="U2580" s="1">
        <v>64</v>
      </c>
      <c r="V2580" s="5">
        <v>43678</v>
      </c>
      <c r="W2580" s="5">
        <v>43237</v>
      </c>
      <c r="X2580" s="1">
        <v>2115000</v>
      </c>
      <c r="Y2580" s="1">
        <v>2115000</v>
      </c>
      <c r="Z2580" s="5">
        <v>43358</v>
      </c>
      <c r="AA2580" s="1">
        <v>2100000</v>
      </c>
      <c r="AB2580" s="1" t="s">
        <v>1982</v>
      </c>
      <c r="AC2580" s="5">
        <v>43592</v>
      </c>
      <c r="AF2580" s="1">
        <v>10002</v>
      </c>
      <c r="AI2580" s="1" t="s">
        <v>1945</v>
      </c>
      <c r="AJ2580" s="1">
        <v>2019</v>
      </c>
      <c r="AK2580" s="1" t="s">
        <v>87</v>
      </c>
      <c r="AL2580" s="1">
        <v>45</v>
      </c>
    </row>
    <row r="2581" spans="1:38" x14ac:dyDescent="0.2">
      <c r="A2581" s="2" t="str">
        <f>HYPERLINK("https://www.compass.com/listing/287-east-houston-street-unit-4c-manhattan-ny-10002/29669370712045249/","287 E Houston St, Unit 4C")</f>
        <v>287 E Houston St, Unit 4C</v>
      </c>
      <c r="B2581" s="2" t="str">
        <f>HYPERLINK("https://www.compass.com/building/287-les-manhattan-ny/281886930822496357/","287/LES")</f>
        <v>287/LES</v>
      </c>
      <c r="C2581" s="1" t="s">
        <v>84</v>
      </c>
      <c r="D2581" s="1" t="s">
        <v>41</v>
      </c>
      <c r="E2581" s="3">
        <v>2160000</v>
      </c>
      <c r="F2581" s="1">
        <v>3461.5384615384601</v>
      </c>
      <c r="G2581" s="1">
        <v>3</v>
      </c>
      <c r="H2581" s="1">
        <v>1</v>
      </c>
      <c r="I2581" s="1">
        <v>1</v>
      </c>
      <c r="J2581" s="1">
        <v>1</v>
      </c>
      <c r="K2581" s="1">
        <v>1</v>
      </c>
      <c r="M2581" s="1">
        <v>624</v>
      </c>
      <c r="N2581" s="1">
        <v>1001</v>
      </c>
      <c r="O2581" s="1">
        <v>1592</v>
      </c>
      <c r="P2581" s="1">
        <v>591</v>
      </c>
      <c r="Q2581" s="1" t="s">
        <v>42</v>
      </c>
      <c r="S2581" s="1" t="s">
        <v>42</v>
      </c>
      <c r="T2581" s="1" t="s">
        <v>203</v>
      </c>
      <c r="V2581" s="5">
        <v>43671</v>
      </c>
      <c r="W2581" s="5">
        <v>42863</v>
      </c>
      <c r="X2581" s="1">
        <v>1180000</v>
      </c>
      <c r="Y2581" s="1">
        <v>1180000</v>
      </c>
      <c r="Z2581" s="5">
        <v>42863</v>
      </c>
      <c r="AA2581" s="1">
        <v>2160000</v>
      </c>
      <c r="AB2581" s="1" t="s">
        <v>1983</v>
      </c>
      <c r="AC2581" s="5">
        <v>43560</v>
      </c>
      <c r="AF2581" s="1">
        <v>10002</v>
      </c>
      <c r="AI2581" s="1" t="s">
        <v>45</v>
      </c>
      <c r="AJ2581" s="1">
        <v>2018</v>
      </c>
      <c r="AK2581" s="1" t="s">
        <v>1902</v>
      </c>
      <c r="AL2581" s="1">
        <v>27</v>
      </c>
    </row>
    <row r="2582" spans="1:38" x14ac:dyDescent="0.2">
      <c r="A2582" s="2" t="str">
        <f>HYPERLINK("https://www.compass.com/listing/25-park-row-unit-10b-manhattan-ny-10038/178475003535186209/","25 Park Row, Unit 10B")</f>
        <v>25 Park Row, Unit 10B</v>
      </c>
      <c r="B2582" s="2" t="str">
        <f t="shared" ref="B2582:B2589" si="413">HYPERLINK("https://www.compass.com/building/25-park-row-manhattan-ny-10038/292920743539264837/","25 Park Row")</f>
        <v>25 Park Row</v>
      </c>
      <c r="C2582" s="1" t="s">
        <v>155</v>
      </c>
      <c r="D2582" s="1" t="s">
        <v>41</v>
      </c>
      <c r="E2582" s="3">
        <v>1850000</v>
      </c>
      <c r="F2582" s="1">
        <v>1848.1518481518401</v>
      </c>
      <c r="G2582" s="1">
        <v>3</v>
      </c>
      <c r="H2582" s="1">
        <v>1</v>
      </c>
      <c r="I2582" s="1">
        <v>2</v>
      </c>
      <c r="J2582" s="1">
        <v>1.5</v>
      </c>
      <c r="K2582" s="1">
        <v>1</v>
      </c>
      <c r="L2582" s="1">
        <v>1</v>
      </c>
      <c r="M2582" s="4">
        <v>1001</v>
      </c>
      <c r="N2582" s="1">
        <v>1227.07</v>
      </c>
      <c r="O2582" s="1">
        <v>2454.3000000000002</v>
      </c>
      <c r="P2582" s="1">
        <v>1227.25</v>
      </c>
      <c r="Q2582" s="1" t="s">
        <v>42</v>
      </c>
      <c r="S2582" s="1" t="s">
        <v>42</v>
      </c>
      <c r="T2582" s="1" t="s">
        <v>203</v>
      </c>
      <c r="U2582" s="1">
        <v>66</v>
      </c>
      <c r="V2582" s="5">
        <v>44067</v>
      </c>
      <c r="W2582" s="5">
        <v>43493</v>
      </c>
      <c r="X2582" s="1">
        <v>1910000</v>
      </c>
      <c r="AB2582" s="1" t="s">
        <v>204</v>
      </c>
      <c r="AF2582" s="1">
        <v>10038</v>
      </c>
      <c r="AI2582" s="1" t="s">
        <v>181</v>
      </c>
      <c r="AJ2582" s="1">
        <v>2019</v>
      </c>
      <c r="AK2582" s="1" t="s">
        <v>87</v>
      </c>
      <c r="AL2582" s="1">
        <v>110</v>
      </c>
    </row>
    <row r="2583" spans="1:38" x14ac:dyDescent="0.2">
      <c r="A2583" s="2" t="str">
        <f>HYPERLINK("https://www.compass.com/listing/25-park-row-unit-8b-manhattan-ny-10038/178476505758713921/","25 Park Row, Unit 8B")</f>
        <v>25 Park Row, Unit 8B</v>
      </c>
      <c r="B2583" s="2" t="str">
        <f t="shared" si="413"/>
        <v>25 Park Row</v>
      </c>
      <c r="C2583" s="1" t="s">
        <v>155</v>
      </c>
      <c r="D2583" s="1" t="s">
        <v>41</v>
      </c>
      <c r="E2583" s="3">
        <v>1820000</v>
      </c>
      <c r="F2583" s="1">
        <v>1818.1818181818101</v>
      </c>
      <c r="G2583" s="1">
        <v>3</v>
      </c>
      <c r="H2583" s="1">
        <v>1</v>
      </c>
      <c r="I2583" s="1">
        <v>2</v>
      </c>
      <c r="J2583" s="1">
        <v>1.5</v>
      </c>
      <c r="K2583" s="1">
        <v>1</v>
      </c>
      <c r="L2583" s="1">
        <v>1</v>
      </c>
      <c r="M2583" s="4">
        <v>1001</v>
      </c>
      <c r="N2583" s="1">
        <v>1215.0999999999999</v>
      </c>
      <c r="O2583" s="1">
        <v>2430.3599999999901</v>
      </c>
      <c r="P2583" s="1">
        <v>1215.25</v>
      </c>
      <c r="Q2583" s="1" t="s">
        <v>42</v>
      </c>
      <c r="S2583" s="1" t="s">
        <v>42</v>
      </c>
      <c r="T2583" s="1" t="s">
        <v>203</v>
      </c>
      <c r="U2583" s="1">
        <v>247</v>
      </c>
      <c r="V2583" s="5">
        <v>44067</v>
      </c>
      <c r="W2583" s="5">
        <v>43493</v>
      </c>
      <c r="X2583" s="1">
        <v>1870000</v>
      </c>
      <c r="AB2583" s="1" t="s">
        <v>204</v>
      </c>
      <c r="AF2583" s="1">
        <v>10038</v>
      </c>
      <c r="AI2583" s="1" t="s">
        <v>181</v>
      </c>
      <c r="AJ2583" s="1">
        <v>2019</v>
      </c>
      <c r="AK2583" s="1" t="s">
        <v>87</v>
      </c>
      <c r="AL2583" s="1">
        <v>110</v>
      </c>
    </row>
    <row r="2584" spans="1:38" x14ac:dyDescent="0.2">
      <c r="A2584" s="2" t="str">
        <f>HYPERLINK("https://www.compass.com/listing/25-park-row-unit-6b-manhattan-ny-10038/178478811090803025/","25 Park Row, Unit 6B")</f>
        <v>25 Park Row, Unit 6B</v>
      </c>
      <c r="B2584" s="2" t="str">
        <f t="shared" si="413"/>
        <v>25 Park Row</v>
      </c>
      <c r="C2584" s="1" t="s">
        <v>155</v>
      </c>
      <c r="D2584" s="1" t="s">
        <v>41</v>
      </c>
      <c r="E2584" s="3">
        <v>1725000</v>
      </c>
      <c r="F2584" s="1">
        <v>1723.2767232767201</v>
      </c>
      <c r="G2584" s="1">
        <v>3</v>
      </c>
      <c r="H2584" s="1">
        <v>1</v>
      </c>
      <c r="I2584" s="1">
        <v>2</v>
      </c>
      <c r="J2584" s="1">
        <v>1.5</v>
      </c>
      <c r="K2584" s="1">
        <v>1</v>
      </c>
      <c r="L2584" s="1">
        <v>1</v>
      </c>
      <c r="M2584" s="4">
        <v>1001</v>
      </c>
      <c r="N2584" s="1">
        <v>1203.1300000000001</v>
      </c>
      <c r="O2584" s="1">
        <v>2406.42</v>
      </c>
      <c r="P2584" s="1">
        <v>1203.25</v>
      </c>
      <c r="Q2584" s="1" t="s">
        <v>42</v>
      </c>
      <c r="S2584" s="1" t="s">
        <v>42</v>
      </c>
      <c r="T2584" s="1" t="s">
        <v>203</v>
      </c>
      <c r="U2584" s="1">
        <v>66</v>
      </c>
      <c r="V2584" s="5">
        <v>44057</v>
      </c>
      <c r="W2584" s="5">
        <v>43493</v>
      </c>
      <c r="X2584" s="1">
        <v>1830000</v>
      </c>
      <c r="Y2584" s="1">
        <v>1860000</v>
      </c>
      <c r="AA2584" s="1">
        <v>1725000</v>
      </c>
      <c r="AB2584" s="1" t="s">
        <v>1984</v>
      </c>
      <c r="AC2584" s="5">
        <v>44056</v>
      </c>
      <c r="AF2584" s="1">
        <v>10038</v>
      </c>
      <c r="AI2584" s="1" t="s">
        <v>183</v>
      </c>
      <c r="AJ2584" s="1">
        <v>2019</v>
      </c>
      <c r="AK2584" s="1" t="s">
        <v>81</v>
      </c>
      <c r="AL2584" s="1">
        <v>110</v>
      </c>
    </row>
    <row r="2585" spans="1:38" x14ac:dyDescent="0.2">
      <c r="A2585" s="2" t="str">
        <f>HYPERLINK("https://www.compass.com/listing/25-park-row-unit-7d-manhattan-ny-10038/178480219949123745/","25 Park Row, Unit 7D")</f>
        <v>25 Park Row, Unit 7D</v>
      </c>
      <c r="B2585" s="2" t="str">
        <f t="shared" si="413"/>
        <v>25 Park Row</v>
      </c>
      <c r="C2585" s="1" t="s">
        <v>155</v>
      </c>
      <c r="D2585" s="1" t="s">
        <v>41</v>
      </c>
      <c r="E2585" s="3">
        <v>1617750</v>
      </c>
      <c r="F2585" s="1">
        <v>1768.0327868852401</v>
      </c>
      <c r="G2585" s="1">
        <v>3</v>
      </c>
      <c r="H2585" s="1">
        <v>1</v>
      </c>
      <c r="I2585" s="1">
        <v>2</v>
      </c>
      <c r="J2585" s="1">
        <v>1.5</v>
      </c>
      <c r="K2585" s="1">
        <v>1</v>
      </c>
      <c r="L2585" s="1">
        <v>1</v>
      </c>
      <c r="M2585" s="1">
        <v>915</v>
      </c>
      <c r="N2585" s="1">
        <v>1105.23</v>
      </c>
      <c r="O2585" s="1">
        <v>2210.61</v>
      </c>
      <c r="P2585" s="1">
        <v>1105.4166666666599</v>
      </c>
      <c r="Q2585" s="1" t="s">
        <v>42</v>
      </c>
      <c r="S2585" s="1" t="s">
        <v>42</v>
      </c>
      <c r="T2585" s="1" t="s">
        <v>203</v>
      </c>
      <c r="U2585" s="1">
        <v>66</v>
      </c>
      <c r="V2585" s="5">
        <v>44322</v>
      </c>
      <c r="W2585" s="5">
        <v>43493</v>
      </c>
      <c r="X2585" s="1">
        <v>1695000</v>
      </c>
      <c r="AB2585" s="1" t="s">
        <v>204</v>
      </c>
      <c r="AF2585" s="1">
        <v>10038</v>
      </c>
      <c r="AI2585" s="1" t="s">
        <v>181</v>
      </c>
      <c r="AJ2585" s="1">
        <v>2019</v>
      </c>
      <c r="AK2585" s="1" t="s">
        <v>87</v>
      </c>
      <c r="AL2585" s="1">
        <v>110</v>
      </c>
    </row>
    <row r="2586" spans="1:38" x14ac:dyDescent="0.2">
      <c r="A2586" s="2" t="str">
        <f>HYPERLINK("https://www.compass.com/listing/25-park-row-unit-5b-manhattan-ny-10038/223044027493161473/","25 Park Row, Unit 5B")</f>
        <v>25 Park Row, Unit 5B</v>
      </c>
      <c r="B2586" s="2" t="str">
        <f t="shared" si="413"/>
        <v>25 Park Row</v>
      </c>
      <c r="C2586" s="1" t="s">
        <v>155</v>
      </c>
      <c r="D2586" s="1" t="s">
        <v>41</v>
      </c>
      <c r="E2586" s="3">
        <v>1815000</v>
      </c>
      <c r="F2586" s="1">
        <v>1816.8168168168099</v>
      </c>
      <c r="G2586" s="1">
        <v>3.5</v>
      </c>
      <c r="H2586" s="1">
        <v>1</v>
      </c>
      <c r="I2586" s="1">
        <v>2</v>
      </c>
      <c r="J2586" s="1">
        <v>1.5</v>
      </c>
      <c r="K2586" s="1">
        <v>1</v>
      </c>
      <c r="L2586" s="1">
        <v>1</v>
      </c>
      <c r="M2586" s="1">
        <v>999</v>
      </c>
      <c r="N2586" s="1">
        <v>1194.75</v>
      </c>
      <c r="O2586" s="1">
        <v>2389.66</v>
      </c>
      <c r="P2586" s="1">
        <v>1194.9166666666599</v>
      </c>
      <c r="Q2586" s="1" t="s">
        <v>42</v>
      </c>
      <c r="S2586" s="1" t="s">
        <v>42</v>
      </c>
      <c r="T2586" s="1" t="s">
        <v>203</v>
      </c>
      <c r="U2586" s="1">
        <v>254</v>
      </c>
      <c r="V2586" s="5">
        <v>44176</v>
      </c>
      <c r="W2586" s="5">
        <v>43559</v>
      </c>
      <c r="X2586" s="1">
        <v>1800000</v>
      </c>
      <c r="Y2586" s="1">
        <v>1830000</v>
      </c>
      <c r="AA2586" s="1">
        <v>1815000</v>
      </c>
      <c r="AB2586" s="1" t="s">
        <v>1985</v>
      </c>
      <c r="AC2586" s="5">
        <v>44174</v>
      </c>
      <c r="AF2586" s="1">
        <v>10038</v>
      </c>
      <c r="AI2586" s="1" t="s">
        <v>181</v>
      </c>
      <c r="AJ2586" s="1">
        <v>2019</v>
      </c>
      <c r="AK2586" s="1" t="s">
        <v>87</v>
      </c>
      <c r="AL2586" s="1">
        <v>110</v>
      </c>
    </row>
    <row r="2587" spans="1:38" x14ac:dyDescent="0.2">
      <c r="A2587" s="2" t="str">
        <f>HYPERLINK("https://www.compass.com/listing/25-park-row-unit-5d-manhattan-ny-10038/223044027719616545/","25 Park Row, Unit 5D")</f>
        <v>25 Park Row, Unit 5D</v>
      </c>
      <c r="B2587" s="2" t="str">
        <f t="shared" si="413"/>
        <v>25 Park Row</v>
      </c>
      <c r="C2587" s="1" t="s">
        <v>155</v>
      </c>
      <c r="D2587" s="1" t="s">
        <v>41</v>
      </c>
      <c r="E2587" s="3">
        <v>1705000</v>
      </c>
      <c r="F2587" s="1">
        <v>1863.3879781420701</v>
      </c>
      <c r="G2587" s="1">
        <v>3</v>
      </c>
      <c r="H2587" s="1">
        <v>1</v>
      </c>
      <c r="I2587" s="1">
        <v>2</v>
      </c>
      <c r="J2587" s="1">
        <v>1.5</v>
      </c>
      <c r="K2587" s="1">
        <v>1</v>
      </c>
      <c r="L2587" s="1">
        <v>1</v>
      </c>
      <c r="M2587" s="1">
        <v>915</v>
      </c>
      <c r="N2587" s="1">
        <v>1094.29</v>
      </c>
      <c r="O2587" s="1">
        <v>2188.73</v>
      </c>
      <c r="P2587" s="1">
        <v>1094.4166666666599</v>
      </c>
      <c r="Q2587" s="1" t="s">
        <v>42</v>
      </c>
      <c r="S2587" s="1" t="s">
        <v>42</v>
      </c>
      <c r="T2587" s="1" t="s">
        <v>203</v>
      </c>
      <c r="U2587" s="1">
        <v>69</v>
      </c>
      <c r="V2587" s="5">
        <v>44135</v>
      </c>
      <c r="W2587" s="5">
        <v>43740</v>
      </c>
      <c r="X2587" s="1">
        <v>1725000</v>
      </c>
      <c r="Y2587" s="1">
        <v>1725000</v>
      </c>
      <c r="AA2587" s="1">
        <v>1705000</v>
      </c>
      <c r="AB2587" s="1" t="s">
        <v>1986</v>
      </c>
      <c r="AC2587" s="5">
        <v>44134</v>
      </c>
      <c r="AF2587" s="1">
        <v>10038</v>
      </c>
      <c r="AI2587" s="1" t="s">
        <v>181</v>
      </c>
      <c r="AJ2587" s="1">
        <v>2019</v>
      </c>
      <c r="AK2587" s="1" t="s">
        <v>87</v>
      </c>
      <c r="AL2587" s="1">
        <v>110</v>
      </c>
    </row>
    <row r="2588" spans="1:38" x14ac:dyDescent="0.2">
      <c r="A2588" s="2" t="str">
        <f>HYPERLINK("https://www.compass.com/listing/25-park-row-unit-7b-manhattan-ny-10038/354172839252331537/","25 Park Row, Unit 7B")</f>
        <v>25 Park Row, Unit 7B</v>
      </c>
      <c r="B2588" s="2" t="str">
        <f t="shared" si="413"/>
        <v>25 Park Row</v>
      </c>
      <c r="C2588" s="1" t="s">
        <v>155</v>
      </c>
      <c r="D2588" s="1" t="s">
        <v>41</v>
      </c>
      <c r="E2588" s="3">
        <v>1865000</v>
      </c>
      <c r="F2588" s="1">
        <v>1863.13686313686</v>
      </c>
      <c r="G2588" s="1">
        <v>3.5</v>
      </c>
      <c r="H2588" s="1">
        <v>1</v>
      </c>
      <c r="I2588" s="1">
        <v>2</v>
      </c>
      <c r="J2588" s="1">
        <v>1.5</v>
      </c>
      <c r="K2588" s="1">
        <v>1</v>
      </c>
      <c r="L2588" s="1">
        <v>1</v>
      </c>
      <c r="M2588" s="4">
        <v>1001</v>
      </c>
      <c r="N2588" s="1">
        <v>1209.1099999999999</v>
      </c>
      <c r="O2588" s="1">
        <v>2418.38</v>
      </c>
      <c r="P2588" s="1">
        <v>1209.25</v>
      </c>
      <c r="Q2588" s="1" t="s">
        <v>42</v>
      </c>
      <c r="S2588" s="1" t="s">
        <v>42</v>
      </c>
      <c r="T2588" s="1" t="s">
        <v>203</v>
      </c>
      <c r="U2588" s="1">
        <v>43</v>
      </c>
      <c r="V2588" s="5">
        <v>44067</v>
      </c>
      <c r="W2588" s="5">
        <v>43740</v>
      </c>
      <c r="X2588" s="1">
        <v>1850000</v>
      </c>
      <c r="AB2588" s="1" t="s">
        <v>204</v>
      </c>
      <c r="AF2588" s="1">
        <v>10038</v>
      </c>
      <c r="AI2588" s="1" t="s">
        <v>181</v>
      </c>
      <c r="AJ2588" s="1">
        <v>2019</v>
      </c>
      <c r="AK2588" s="1" t="s">
        <v>87</v>
      </c>
      <c r="AL2588" s="1">
        <v>110</v>
      </c>
    </row>
    <row r="2589" spans="1:38" x14ac:dyDescent="0.2">
      <c r="A2589" s="2" t="str">
        <f>HYPERLINK("https://www.compass.com/listing/25-park-row-unit-9b-manhattan-ny-10038/385425630893159153/","25 Park Row, Unit 9B")</f>
        <v>25 Park Row, Unit 9B</v>
      </c>
      <c r="B2589" s="2" t="str">
        <f t="shared" si="413"/>
        <v>25 Park Row</v>
      </c>
      <c r="C2589" s="1" t="s">
        <v>155</v>
      </c>
      <c r="D2589" s="1" t="s">
        <v>41</v>
      </c>
      <c r="E2589" s="3">
        <v>1920488</v>
      </c>
      <c r="F2589" s="1">
        <v>1918.5689310689299</v>
      </c>
      <c r="G2589" s="1">
        <v>3</v>
      </c>
      <c r="H2589" s="1">
        <v>1</v>
      </c>
      <c r="I2589" s="1">
        <v>2</v>
      </c>
      <c r="J2589" s="1">
        <v>1.5</v>
      </c>
      <c r="K2589" s="1">
        <v>1</v>
      </c>
      <c r="L2589" s="1">
        <v>1</v>
      </c>
      <c r="M2589" s="4">
        <v>1001</v>
      </c>
      <c r="N2589" s="1">
        <v>1221.08</v>
      </c>
      <c r="O2589" s="1">
        <v>2442.33</v>
      </c>
      <c r="P2589" s="1">
        <v>1221.25</v>
      </c>
      <c r="Q2589" s="1" t="s">
        <v>42</v>
      </c>
      <c r="S2589" s="1" t="s">
        <v>42</v>
      </c>
      <c r="T2589" s="1" t="s">
        <v>203</v>
      </c>
      <c r="U2589" s="1">
        <v>12</v>
      </c>
      <c r="V2589" s="5">
        <v>44067</v>
      </c>
      <c r="W2589" s="5">
        <v>43783</v>
      </c>
      <c r="X2589" s="1">
        <v>1920000</v>
      </c>
      <c r="Y2589" s="1">
        <v>1920000</v>
      </c>
      <c r="AA2589" s="1">
        <v>1920487.5</v>
      </c>
      <c r="AB2589" s="1" t="s">
        <v>1987</v>
      </c>
      <c r="AC2589" s="5">
        <v>44025</v>
      </c>
      <c r="AF2589" s="1">
        <v>10038</v>
      </c>
      <c r="AI2589" s="1" t="s">
        <v>181</v>
      </c>
      <c r="AJ2589" s="1">
        <v>2019</v>
      </c>
      <c r="AK2589" s="1" t="s">
        <v>87</v>
      </c>
      <c r="AL2589" s="1">
        <v>110</v>
      </c>
    </row>
    <row r="2590" spans="1:38" x14ac:dyDescent="0.2">
      <c r="A2590" s="2" t="str">
        <f>HYPERLINK("https://www.compass.com/listing/242-broome-street-unit-12d-manhattan-ny-10002/29514976519545665/","242 Broome St, Unit 12D")</f>
        <v>242 Broome St, Unit 12D</v>
      </c>
      <c r="B2590" s="2" t="str">
        <f t="shared" ref="B2590:B2591" si="414">HYPERLINK("https://www.compass.com/building/242-broome-essex-crossing-manhattan-ny/292776610392708181/","242 Broome, Essex Crossing")</f>
        <v>242 Broome, Essex Crossing</v>
      </c>
      <c r="C2590" s="1" t="s">
        <v>84</v>
      </c>
      <c r="D2590" s="1" t="s">
        <v>41</v>
      </c>
      <c r="E2590" s="3">
        <v>1682863</v>
      </c>
      <c r="F2590" s="1">
        <v>2196.9490861618701</v>
      </c>
      <c r="G2590" s="1">
        <v>3</v>
      </c>
      <c r="H2590" s="1">
        <v>1</v>
      </c>
      <c r="I2590" s="1">
        <v>1</v>
      </c>
      <c r="J2590" s="1">
        <v>1</v>
      </c>
      <c r="K2590" s="1">
        <v>1</v>
      </c>
      <c r="M2590" s="1">
        <v>766</v>
      </c>
      <c r="N2590" s="1">
        <v>1520</v>
      </c>
      <c r="O2590" s="1">
        <v>1972</v>
      </c>
      <c r="P2590" s="1">
        <v>452</v>
      </c>
      <c r="Q2590" s="1" t="s">
        <v>42</v>
      </c>
      <c r="S2590" s="1" t="s">
        <v>42</v>
      </c>
      <c r="T2590" s="1" t="s">
        <v>203</v>
      </c>
      <c r="U2590" s="1">
        <v>9</v>
      </c>
      <c r="V2590" s="5">
        <v>44314</v>
      </c>
      <c r="W2590" s="5">
        <v>43067</v>
      </c>
      <c r="X2590" s="1">
        <v>1650000</v>
      </c>
      <c r="Y2590" s="1">
        <v>1650000</v>
      </c>
      <c r="Z2590" s="5">
        <v>43076</v>
      </c>
      <c r="AA2590" s="1">
        <v>1682863</v>
      </c>
      <c r="AB2590" s="1" t="s">
        <v>1988</v>
      </c>
      <c r="AC2590" s="5">
        <v>43306</v>
      </c>
      <c r="AF2590" s="1">
        <v>10002</v>
      </c>
      <c r="AI2590" s="1" t="s">
        <v>45</v>
      </c>
      <c r="AJ2590" s="1">
        <v>2018</v>
      </c>
      <c r="AK2590" s="1" t="s">
        <v>50</v>
      </c>
      <c r="AL2590" s="1">
        <v>55</v>
      </c>
    </row>
    <row r="2591" spans="1:38" x14ac:dyDescent="0.2">
      <c r="A2591" s="2" t="str">
        <f>HYPERLINK("https://www.compass.com/listing/242-broome-street-unit-10e-manhattan-ny-10002/29514981217234577/","242 Broome St, Unit 10E")</f>
        <v>242 Broome St, Unit 10E</v>
      </c>
      <c r="B2591" s="2" t="str">
        <f t="shared" si="414"/>
        <v>242 Broome, Essex Crossing</v>
      </c>
      <c r="C2591" s="1" t="s">
        <v>84</v>
      </c>
      <c r="D2591" s="1" t="s">
        <v>41</v>
      </c>
      <c r="E2591" s="3">
        <v>1504669</v>
      </c>
      <c r="F2591" s="1">
        <v>1961.75880052151</v>
      </c>
      <c r="G2591" s="1">
        <v>3</v>
      </c>
      <c r="H2591" s="1">
        <v>1</v>
      </c>
      <c r="I2591" s="1">
        <v>1</v>
      </c>
      <c r="J2591" s="1">
        <v>1</v>
      </c>
      <c r="K2591" s="1">
        <v>1</v>
      </c>
      <c r="M2591" s="1">
        <v>767</v>
      </c>
      <c r="N2591" s="1">
        <v>1507</v>
      </c>
      <c r="O2591" s="1">
        <v>1954</v>
      </c>
      <c r="P2591" s="1">
        <v>447</v>
      </c>
      <c r="Q2591" s="1" t="s">
        <v>42</v>
      </c>
      <c r="S2591" s="1" t="s">
        <v>42</v>
      </c>
      <c r="T2591" s="1" t="s">
        <v>203</v>
      </c>
      <c r="V2591" s="5">
        <v>44314</v>
      </c>
      <c r="W2591" s="5">
        <v>42684</v>
      </c>
      <c r="X2591" s="1">
        <v>1495000</v>
      </c>
      <c r="Y2591" s="1">
        <v>1495000</v>
      </c>
      <c r="Z2591" s="5">
        <v>42684</v>
      </c>
      <c r="AA2591" s="1">
        <v>1504669</v>
      </c>
      <c r="AB2591" s="1" t="s">
        <v>1989</v>
      </c>
      <c r="AC2591" s="5">
        <v>43302</v>
      </c>
      <c r="AF2591" s="1">
        <v>10002</v>
      </c>
      <c r="AI2591" s="1" t="s">
        <v>45</v>
      </c>
      <c r="AJ2591" s="1">
        <v>2018</v>
      </c>
      <c r="AK2591" s="1" t="s">
        <v>50</v>
      </c>
      <c r="AL2591" s="1">
        <v>55</v>
      </c>
    </row>
    <row r="2592" spans="1:38" x14ac:dyDescent="0.2">
      <c r="A2592" s="2" t="str">
        <f>HYPERLINK("https://www.compass.com/listing/287-east-houston-street-unit-9b-manhattan-ny-10002/29669386826562161/","287 E Houston St, Unit 9B")</f>
        <v>287 E Houston St, Unit 9B</v>
      </c>
      <c r="B2592" s="2" t="str">
        <f>HYPERLINK("https://www.compass.com/building/287-les-manhattan-ny/281886930822496357/","287/LES")</f>
        <v>287/LES</v>
      </c>
      <c r="C2592" s="1" t="s">
        <v>84</v>
      </c>
      <c r="D2592" s="1" t="s">
        <v>41</v>
      </c>
      <c r="E2592" s="3">
        <v>1985000</v>
      </c>
      <c r="F2592" s="1">
        <v>1955.6650246305401</v>
      </c>
      <c r="G2592" s="1">
        <v>4</v>
      </c>
      <c r="H2592" s="1">
        <v>2</v>
      </c>
      <c r="I2592" s="1">
        <v>2</v>
      </c>
      <c r="J2592" s="1">
        <v>2</v>
      </c>
      <c r="K2592" s="1">
        <v>2</v>
      </c>
      <c r="M2592" s="4">
        <v>1015</v>
      </c>
      <c r="N2592" s="1">
        <v>988</v>
      </c>
      <c r="O2592" s="1">
        <v>2502</v>
      </c>
      <c r="P2592" s="1">
        <v>1514</v>
      </c>
      <c r="Q2592" s="1" t="s">
        <v>42</v>
      </c>
      <c r="S2592" s="1" t="s">
        <v>42</v>
      </c>
      <c r="T2592" s="1" t="s">
        <v>203</v>
      </c>
      <c r="U2592" s="1">
        <v>637</v>
      </c>
      <c r="V2592" s="5">
        <v>44303</v>
      </c>
      <c r="W2592" s="5">
        <v>43522</v>
      </c>
      <c r="Y2592" s="1">
        <v>2300000</v>
      </c>
      <c r="Z2592" s="5">
        <v>44260</v>
      </c>
      <c r="AA2592" s="1">
        <v>1985000</v>
      </c>
      <c r="AB2592" s="1" t="s">
        <v>1990</v>
      </c>
      <c r="AC2592" s="5">
        <v>44302</v>
      </c>
      <c r="AF2592" s="1">
        <v>10002</v>
      </c>
      <c r="AI2592" s="1" t="s">
        <v>108</v>
      </c>
      <c r="AJ2592" s="1">
        <v>2018</v>
      </c>
      <c r="AK2592" s="1" t="s">
        <v>178</v>
      </c>
      <c r="AL2592" s="1">
        <v>27</v>
      </c>
    </row>
    <row r="2593" spans="1:38" x14ac:dyDescent="0.2">
      <c r="A2593" s="2" t="str">
        <f>HYPERLINK("https://www.compass.com/listing/242-broome-street-unit-12e-manhattan-ny-10002/29669281734187985/","242 Broome St, Unit 12E")</f>
        <v>242 Broome St, Unit 12E</v>
      </c>
      <c r="B2593" s="2" t="str">
        <f t="shared" ref="B2593:B2594" si="415">HYPERLINK("https://www.compass.com/building/242-broome-essex-crossing-manhattan-ny/292776610392708181/","242 Broome, Essex Crossing")</f>
        <v>242 Broome, Essex Crossing</v>
      </c>
      <c r="C2593" s="1" t="s">
        <v>84</v>
      </c>
      <c r="D2593" s="1" t="s">
        <v>41</v>
      </c>
      <c r="E2593" s="3">
        <v>2695000</v>
      </c>
      <c r="F2593" s="1">
        <v>2198.2055464926498</v>
      </c>
      <c r="G2593" s="1">
        <v>4</v>
      </c>
      <c r="H2593" s="1">
        <v>2</v>
      </c>
      <c r="I2593" s="1">
        <v>2</v>
      </c>
      <c r="J2593" s="1">
        <v>2</v>
      </c>
      <c r="K2593" s="1">
        <v>2</v>
      </c>
      <c r="M2593" s="4">
        <v>1226</v>
      </c>
      <c r="N2593" s="1">
        <v>2433</v>
      </c>
      <c r="O2593" s="1">
        <v>3155</v>
      </c>
      <c r="P2593" s="1">
        <v>722</v>
      </c>
      <c r="Q2593" s="1" t="s">
        <v>42</v>
      </c>
      <c r="S2593" s="1" t="s">
        <v>42</v>
      </c>
      <c r="T2593" s="1" t="s">
        <v>203</v>
      </c>
      <c r="U2593" s="1">
        <v>1019</v>
      </c>
      <c r="V2593" s="5">
        <v>44350</v>
      </c>
      <c r="W2593" s="5">
        <v>42579</v>
      </c>
      <c r="AA2593" s="1">
        <v>2695000</v>
      </c>
      <c r="AB2593" s="1" t="s">
        <v>1991</v>
      </c>
      <c r="AC2593" s="5">
        <v>43598</v>
      </c>
      <c r="AF2593" s="1">
        <v>10002</v>
      </c>
      <c r="AI2593" s="1" t="s">
        <v>45</v>
      </c>
      <c r="AJ2593" s="1">
        <v>2018</v>
      </c>
      <c r="AK2593" s="1" t="s">
        <v>50</v>
      </c>
      <c r="AL2593" s="1">
        <v>55</v>
      </c>
    </row>
    <row r="2594" spans="1:38" x14ac:dyDescent="0.2">
      <c r="A2594" s="2" t="str">
        <f>HYPERLINK("https://www.compass.com/listing/242-broome-street-unit-9b-manhattan-ny-10002/29514980235767393/","242 Broome St, Unit 9B")</f>
        <v>242 Broome St, Unit 9B</v>
      </c>
      <c r="B2594" s="2" t="str">
        <f t="shared" si="415"/>
        <v>242 Broome, Essex Crossing</v>
      </c>
      <c r="C2594" s="1" t="s">
        <v>84</v>
      </c>
      <c r="D2594" s="1" t="s">
        <v>41</v>
      </c>
      <c r="E2594" s="3">
        <v>1351931</v>
      </c>
      <c r="F2594" s="1">
        <v>1795.3930942894999</v>
      </c>
      <c r="G2594" s="1">
        <v>3</v>
      </c>
      <c r="H2594" s="1">
        <v>1</v>
      </c>
      <c r="I2594" s="1">
        <v>1</v>
      </c>
      <c r="J2594" s="1">
        <v>1</v>
      </c>
      <c r="K2594" s="1">
        <v>1</v>
      </c>
      <c r="M2594" s="1">
        <v>753</v>
      </c>
      <c r="N2594" s="1">
        <v>1473</v>
      </c>
      <c r="O2594" s="1">
        <v>1910</v>
      </c>
      <c r="P2594" s="1">
        <v>437</v>
      </c>
      <c r="Q2594" s="1" t="s">
        <v>42</v>
      </c>
      <c r="S2594" s="1" t="s">
        <v>42</v>
      </c>
      <c r="T2594" s="1" t="s">
        <v>203</v>
      </c>
      <c r="V2594" s="5">
        <v>44314</v>
      </c>
      <c r="W2594" s="5">
        <v>42684</v>
      </c>
      <c r="X2594" s="1">
        <v>1325000</v>
      </c>
      <c r="Y2594" s="1">
        <v>1325000</v>
      </c>
      <c r="Z2594" s="5">
        <v>42684</v>
      </c>
      <c r="AA2594" s="1">
        <v>1351931</v>
      </c>
      <c r="AB2594" s="1" t="s">
        <v>1992</v>
      </c>
      <c r="AC2594" s="5">
        <v>43312</v>
      </c>
      <c r="AF2594" s="1">
        <v>10002</v>
      </c>
      <c r="AI2594" s="1" t="s">
        <v>45</v>
      </c>
      <c r="AJ2594" s="1">
        <v>2018</v>
      </c>
      <c r="AK2594" s="1" t="s">
        <v>50</v>
      </c>
      <c r="AL2594" s="1">
        <v>55</v>
      </c>
    </row>
    <row r="2595" spans="1:38" x14ac:dyDescent="0.2">
      <c r="A2595" s="2" t="str">
        <f>HYPERLINK("https://www.compass.com/listing/150-rivington-street-unit-5c-manhattan-ny-10002/20314395129267121/","150 Rivington St, Unit 5C")</f>
        <v>150 Rivington St, Unit 5C</v>
      </c>
      <c r="B2595" s="2" t="str">
        <f>HYPERLINK("https://www.compass.com/building/150-rivington-street-manhattan-ny/282058947895000453/","150 Rivington Street")</f>
        <v>150 Rivington Street</v>
      </c>
      <c r="C2595" s="1" t="s">
        <v>84</v>
      </c>
      <c r="D2595" s="1" t="s">
        <v>41</v>
      </c>
      <c r="E2595" s="3">
        <v>1345000</v>
      </c>
      <c r="F2595" s="1">
        <v>1969.2532942898899</v>
      </c>
      <c r="G2595" s="1">
        <v>3</v>
      </c>
      <c r="H2595" s="1">
        <v>1</v>
      </c>
      <c r="I2595" s="1">
        <v>1</v>
      </c>
      <c r="J2595" s="1">
        <v>1</v>
      </c>
      <c r="K2595" s="1">
        <v>1</v>
      </c>
      <c r="M2595" s="1">
        <v>683</v>
      </c>
      <c r="N2595" s="1">
        <v>837</v>
      </c>
      <c r="O2595" s="1">
        <v>1835</v>
      </c>
      <c r="P2595" s="1">
        <v>998</v>
      </c>
      <c r="Q2595" s="1" t="s">
        <v>42</v>
      </c>
      <c r="S2595" s="1" t="s">
        <v>42</v>
      </c>
      <c r="T2595" s="1" t="s">
        <v>203</v>
      </c>
      <c r="U2595" s="1">
        <v>92</v>
      </c>
      <c r="V2595" s="5">
        <v>43678</v>
      </c>
      <c r="W2595" s="5">
        <v>43370</v>
      </c>
      <c r="Y2595" s="1">
        <v>1365000</v>
      </c>
      <c r="Z2595" s="5">
        <v>43273</v>
      </c>
      <c r="AA2595" s="1">
        <v>1345000</v>
      </c>
      <c r="AB2595" s="1" t="s">
        <v>1993</v>
      </c>
      <c r="AC2595" s="5">
        <v>43676</v>
      </c>
      <c r="AF2595" s="1">
        <v>10002</v>
      </c>
      <c r="AI2595" s="1" t="s">
        <v>1945</v>
      </c>
      <c r="AJ2595" s="1">
        <v>2019</v>
      </c>
      <c r="AK2595" s="1" t="s">
        <v>87</v>
      </c>
      <c r="AL2595" s="1">
        <v>45</v>
      </c>
    </row>
    <row r="2596" spans="1:38" x14ac:dyDescent="0.2">
      <c r="A2596" s="2" t="str">
        <f>HYPERLINK("https://www.compass.com/listing/242-broome-street-unit-5d-manhattan-ny-10002/29514977148759489/","242 Broome St, Unit 5D")</f>
        <v>242 Broome St, Unit 5D</v>
      </c>
      <c r="B2596" s="2" t="str">
        <f>HYPERLINK("https://www.compass.com/building/242-broome-essex-crossing-manhattan-ny/292776610392708181/","242 Broome, Essex Crossing")</f>
        <v>242 Broome, Essex Crossing</v>
      </c>
      <c r="C2596" s="1" t="s">
        <v>84</v>
      </c>
      <c r="D2596" s="1" t="s">
        <v>41</v>
      </c>
      <c r="E2596" s="3">
        <v>2420000</v>
      </c>
      <c r="F2596" s="1">
        <v>1668.96551724137</v>
      </c>
      <c r="G2596" s="1">
        <v>4</v>
      </c>
      <c r="H2596" s="1">
        <v>2</v>
      </c>
      <c r="I2596" s="1">
        <v>3</v>
      </c>
      <c r="J2596" s="1">
        <v>2.5</v>
      </c>
      <c r="K2596" s="1">
        <v>2</v>
      </c>
      <c r="L2596" s="1">
        <v>1</v>
      </c>
      <c r="M2596" s="4">
        <v>1450</v>
      </c>
      <c r="N2596" s="1">
        <v>2781</v>
      </c>
      <c r="O2596" s="1">
        <v>3606</v>
      </c>
      <c r="P2596" s="1">
        <v>825</v>
      </c>
      <c r="Q2596" s="1" t="s">
        <v>42</v>
      </c>
      <c r="S2596" s="1" t="s">
        <v>42</v>
      </c>
      <c r="T2596" s="1" t="s">
        <v>203</v>
      </c>
      <c r="U2596" s="1">
        <v>204</v>
      </c>
      <c r="V2596" s="5">
        <v>43693</v>
      </c>
      <c r="W2596" s="5">
        <v>42641</v>
      </c>
      <c r="X2596" s="1">
        <v>2500000</v>
      </c>
      <c r="Y2596" s="1">
        <v>2500000</v>
      </c>
      <c r="Z2596" s="5">
        <v>43061</v>
      </c>
      <c r="AA2596" s="1">
        <v>2420000</v>
      </c>
      <c r="AB2596" s="1" t="s">
        <v>1994</v>
      </c>
      <c r="AC2596" s="5">
        <v>43299</v>
      </c>
      <c r="AF2596" s="1">
        <v>10002</v>
      </c>
      <c r="AI2596" s="1" t="s">
        <v>45</v>
      </c>
      <c r="AJ2596" s="1">
        <v>2018</v>
      </c>
      <c r="AK2596" s="1" t="s">
        <v>81</v>
      </c>
      <c r="AL2596" s="1">
        <v>55</v>
      </c>
    </row>
    <row r="2597" spans="1:38" x14ac:dyDescent="0.2">
      <c r="A2597" s="2" t="str">
        <f>HYPERLINK("https://www.compass.com/listing/25-park-row-unit-11b-manhattan-ny-10038/562927754599901753/","25 Park Row, Unit 11B")</f>
        <v>25 Park Row, Unit 11B</v>
      </c>
      <c r="B2597" s="2" t="str">
        <f>HYPERLINK("https://www.compass.com/building/25-park-row-manhattan-ny-10038/292920743539264837/","25 Park Row")</f>
        <v>25 Park Row</v>
      </c>
      <c r="C2597" s="1" t="s">
        <v>155</v>
      </c>
      <c r="D2597" s="1" t="s">
        <v>41</v>
      </c>
      <c r="E2597" s="3">
        <v>1915442</v>
      </c>
      <c r="F2597" s="1">
        <v>1913.5283516483501</v>
      </c>
      <c r="G2597" s="1">
        <v>3</v>
      </c>
      <c r="H2597" s="1">
        <v>1</v>
      </c>
      <c r="I2597" s="1">
        <v>2</v>
      </c>
      <c r="J2597" s="1">
        <v>1.5</v>
      </c>
      <c r="K2597" s="1">
        <v>1</v>
      </c>
      <c r="L2597" s="1">
        <v>1</v>
      </c>
      <c r="M2597" s="4">
        <v>1001</v>
      </c>
      <c r="N2597" s="1">
        <v>1233.05</v>
      </c>
      <c r="O2597" s="1">
        <v>2466.27</v>
      </c>
      <c r="P2597" s="1">
        <v>1233.25</v>
      </c>
      <c r="Q2597" s="1" t="s">
        <v>42</v>
      </c>
      <c r="S2597" s="1" t="s">
        <v>42</v>
      </c>
      <c r="T2597" s="1" t="s">
        <v>203</v>
      </c>
      <c r="U2597" s="1">
        <v>438</v>
      </c>
      <c r="V2597" s="5">
        <v>44029</v>
      </c>
      <c r="W2597" s="5">
        <v>43494</v>
      </c>
      <c r="X2597" s="1">
        <v>1895000</v>
      </c>
      <c r="Y2597" s="1">
        <v>1895000</v>
      </c>
      <c r="AA2597" s="1">
        <v>1915441.88</v>
      </c>
      <c r="AB2597" s="1" t="s">
        <v>1995</v>
      </c>
      <c r="AC2597" s="5">
        <v>44027</v>
      </c>
      <c r="AF2597" s="1">
        <v>10038</v>
      </c>
      <c r="AI2597" s="1" t="s">
        <v>181</v>
      </c>
      <c r="AJ2597" s="1">
        <v>2019</v>
      </c>
      <c r="AK2597" s="1" t="s">
        <v>87</v>
      </c>
      <c r="AL2597" s="1">
        <v>110</v>
      </c>
    </row>
    <row r="2598" spans="1:38" x14ac:dyDescent="0.2">
      <c r="A2598" s="2" t="str">
        <f>HYPERLINK("https://www.compass.com/listing/242-broome-street-unit-5b-manhattan-ny-10002/29514975789763969/","242 Broome St, Unit 5B")</f>
        <v>242 Broome St, Unit 5B</v>
      </c>
      <c r="B2598" s="2" t="str">
        <f t="shared" ref="B2598:B2600" si="416">HYPERLINK("https://www.compass.com/building/242-broome-essex-crossing-manhattan-ny/292776610392708181/","242 Broome, Essex Crossing")</f>
        <v>242 Broome, Essex Crossing</v>
      </c>
      <c r="C2598" s="1" t="s">
        <v>84</v>
      </c>
      <c r="D2598" s="1" t="s">
        <v>41</v>
      </c>
      <c r="E2598" s="3">
        <v>1565000</v>
      </c>
      <c r="F2598" s="1">
        <v>1754.4843049327301</v>
      </c>
      <c r="G2598" s="1">
        <v>3</v>
      </c>
      <c r="H2598" s="1">
        <v>1</v>
      </c>
      <c r="I2598" s="1">
        <v>2</v>
      </c>
      <c r="J2598" s="1">
        <v>1.5</v>
      </c>
      <c r="K2598" s="1">
        <v>1</v>
      </c>
      <c r="L2598" s="1">
        <v>1</v>
      </c>
      <c r="M2598" s="1">
        <v>892</v>
      </c>
      <c r="N2598" s="1">
        <v>1711</v>
      </c>
      <c r="O2598" s="1">
        <v>2219</v>
      </c>
      <c r="P2598" s="1">
        <v>508</v>
      </c>
      <c r="Q2598" s="1" t="s">
        <v>42</v>
      </c>
      <c r="S2598" s="1" t="s">
        <v>42</v>
      </c>
      <c r="T2598" s="1" t="s">
        <v>203</v>
      </c>
      <c r="U2598" s="1">
        <v>335</v>
      </c>
      <c r="V2598" s="5">
        <v>44350</v>
      </c>
      <c r="W2598" s="5">
        <v>42908</v>
      </c>
      <c r="X2598" s="1">
        <v>1600000</v>
      </c>
      <c r="Y2598" s="1">
        <v>1600000</v>
      </c>
      <c r="Z2598" s="5">
        <v>43243</v>
      </c>
      <c r="AA2598" s="1">
        <v>1565000</v>
      </c>
      <c r="AB2598" s="1" t="s">
        <v>1996</v>
      </c>
      <c r="AC2598" s="5">
        <v>43312</v>
      </c>
      <c r="AF2598" s="1">
        <v>10002</v>
      </c>
      <c r="AI2598" s="1" t="s">
        <v>45</v>
      </c>
      <c r="AJ2598" s="1">
        <v>2018</v>
      </c>
      <c r="AK2598" s="1" t="s">
        <v>50</v>
      </c>
      <c r="AL2598" s="1">
        <v>55</v>
      </c>
    </row>
    <row r="2599" spans="1:38" x14ac:dyDescent="0.2">
      <c r="A2599" s="2" t="str">
        <f>HYPERLINK("https://www.compass.com/listing/242-broome-street-unit-7d-manhattan-ny-10002/29514980546077681/","242 Broome St, Unit 7D")</f>
        <v>242 Broome St, Unit 7D</v>
      </c>
      <c r="B2599" s="2" t="str">
        <f t="shared" si="416"/>
        <v>242 Broome, Essex Crossing</v>
      </c>
      <c r="C2599" s="1" t="s">
        <v>84</v>
      </c>
      <c r="D2599" s="1" t="s">
        <v>41</v>
      </c>
      <c r="E2599" s="3">
        <v>1835600</v>
      </c>
      <c r="F2599" s="1">
        <v>1830.1096709870301</v>
      </c>
      <c r="G2599" s="1">
        <v>3</v>
      </c>
      <c r="H2599" s="1">
        <v>1</v>
      </c>
      <c r="I2599" s="1">
        <v>2</v>
      </c>
      <c r="J2599" s="1">
        <v>1.5</v>
      </c>
      <c r="K2599" s="1">
        <v>1</v>
      </c>
      <c r="L2599" s="1">
        <v>1</v>
      </c>
      <c r="M2599" s="4">
        <v>1003</v>
      </c>
      <c r="N2599" s="1">
        <v>1943</v>
      </c>
      <c r="O2599" s="1">
        <v>2520</v>
      </c>
      <c r="P2599" s="1">
        <v>577</v>
      </c>
      <c r="Q2599" s="1" t="s">
        <v>42</v>
      </c>
      <c r="S2599" s="1" t="s">
        <v>42</v>
      </c>
      <c r="T2599" s="1" t="s">
        <v>203</v>
      </c>
      <c r="V2599" s="5">
        <v>44314</v>
      </c>
      <c r="W2599" s="5">
        <v>42684</v>
      </c>
      <c r="X2599" s="1">
        <v>1800000</v>
      </c>
      <c r="Y2599" s="1">
        <v>1800000</v>
      </c>
      <c r="Z2599" s="5">
        <v>42684</v>
      </c>
      <c r="AA2599" s="1">
        <v>1835600</v>
      </c>
      <c r="AB2599" s="1" t="s">
        <v>1997</v>
      </c>
      <c r="AC2599" s="5">
        <v>43313</v>
      </c>
      <c r="AF2599" s="1">
        <v>10002</v>
      </c>
      <c r="AI2599" s="1" t="s">
        <v>45</v>
      </c>
      <c r="AJ2599" s="1">
        <v>2018</v>
      </c>
      <c r="AK2599" s="1" t="s">
        <v>50</v>
      </c>
      <c r="AL2599" s="1">
        <v>55</v>
      </c>
    </row>
    <row r="2600" spans="1:38" x14ac:dyDescent="0.2">
      <c r="A2600" s="2" t="str">
        <f>HYPERLINK("https://www.compass.com/listing/242-broome-street-unit-9a-manhattan-ny-10002/29514981619819553/","242 Broome St, Unit 9A")</f>
        <v>242 Broome St, Unit 9A</v>
      </c>
      <c r="B2600" s="2" t="str">
        <f t="shared" si="416"/>
        <v>242 Broome, Essex Crossing</v>
      </c>
      <c r="C2600" s="1" t="s">
        <v>84</v>
      </c>
      <c r="D2600" s="1" t="s">
        <v>41</v>
      </c>
      <c r="E2600" s="3">
        <v>1611585</v>
      </c>
      <c r="F2600" s="1">
        <v>1651.21413934426</v>
      </c>
      <c r="G2600" s="1">
        <v>3</v>
      </c>
      <c r="H2600" s="1">
        <v>1</v>
      </c>
      <c r="I2600" s="1">
        <v>2</v>
      </c>
      <c r="J2600" s="1">
        <v>1.5</v>
      </c>
      <c r="K2600" s="1">
        <v>1</v>
      </c>
      <c r="L2600" s="1">
        <v>1</v>
      </c>
      <c r="M2600" s="1">
        <v>976</v>
      </c>
      <c r="N2600" s="1">
        <v>1909</v>
      </c>
      <c r="O2600" s="1">
        <v>2476</v>
      </c>
      <c r="P2600" s="1">
        <v>567</v>
      </c>
      <c r="Q2600" s="1" t="s">
        <v>42</v>
      </c>
      <c r="S2600" s="1" t="s">
        <v>42</v>
      </c>
      <c r="T2600" s="1" t="s">
        <v>203</v>
      </c>
      <c r="V2600" s="5">
        <v>44314</v>
      </c>
      <c r="W2600" s="5">
        <v>42684</v>
      </c>
      <c r="X2600" s="1">
        <v>1580000</v>
      </c>
      <c r="Y2600" s="1">
        <v>1580000</v>
      </c>
      <c r="Z2600" s="5">
        <v>42684</v>
      </c>
      <c r="AA2600" s="1">
        <v>1611585</v>
      </c>
      <c r="AB2600" s="1" t="s">
        <v>1998</v>
      </c>
      <c r="AC2600" s="5">
        <v>43306</v>
      </c>
      <c r="AF2600" s="1">
        <v>10002</v>
      </c>
      <c r="AI2600" s="1" t="s">
        <v>45</v>
      </c>
      <c r="AJ2600" s="1">
        <v>2018</v>
      </c>
      <c r="AK2600" s="1" t="s">
        <v>50</v>
      </c>
      <c r="AL2600" s="1">
        <v>55</v>
      </c>
    </row>
    <row r="2601" spans="1:38" x14ac:dyDescent="0.2">
      <c r="A2601" s="2" t="str">
        <f>HYPERLINK("https://www.compass.com/listing/287-east-houston-street-unit-5b-manhattan-ny-10002/29514950892347089/","287 E Houston St, Unit 5B")</f>
        <v>287 E Houston St, Unit 5B</v>
      </c>
      <c r="B2601" s="2" t="str">
        <f>HYPERLINK("https://www.compass.com/building/287-les-manhattan-ny/281886930822496357/","287/LES")</f>
        <v>287/LES</v>
      </c>
      <c r="C2601" s="1" t="s">
        <v>84</v>
      </c>
      <c r="D2601" s="1" t="s">
        <v>41</v>
      </c>
      <c r="E2601" s="3">
        <v>1450000</v>
      </c>
      <c r="F2601" s="1">
        <v>1933.3333333333301</v>
      </c>
      <c r="G2601" s="1">
        <v>3</v>
      </c>
      <c r="H2601" s="1">
        <v>1</v>
      </c>
      <c r="I2601" s="1">
        <v>1</v>
      </c>
      <c r="J2601" s="1">
        <v>1</v>
      </c>
      <c r="K2601" s="1">
        <v>1</v>
      </c>
      <c r="M2601" s="1">
        <v>750</v>
      </c>
      <c r="N2601" s="1">
        <v>729</v>
      </c>
      <c r="O2601" s="1">
        <v>901</v>
      </c>
      <c r="P2601" s="1">
        <v>172</v>
      </c>
      <c r="Q2601" s="1" t="s">
        <v>42</v>
      </c>
      <c r="S2601" s="1" t="s">
        <v>42</v>
      </c>
      <c r="T2601" s="1" t="s">
        <v>203</v>
      </c>
      <c r="U2601" s="1">
        <v>375</v>
      </c>
      <c r="V2601" s="5">
        <v>43637</v>
      </c>
      <c r="W2601" s="5">
        <v>43042</v>
      </c>
      <c r="X2601" s="1">
        <v>1475000</v>
      </c>
      <c r="Y2601" s="1">
        <v>1495000</v>
      </c>
      <c r="Z2601" s="5">
        <v>43417</v>
      </c>
      <c r="AA2601" s="1">
        <v>1450000</v>
      </c>
      <c r="AB2601" s="1" t="s">
        <v>1999</v>
      </c>
      <c r="AC2601" s="5">
        <v>43552</v>
      </c>
      <c r="AF2601" s="1">
        <v>10002</v>
      </c>
      <c r="AI2601" s="1" t="s">
        <v>45</v>
      </c>
      <c r="AJ2601" s="1">
        <v>2018</v>
      </c>
      <c r="AK2601" s="1" t="s">
        <v>1902</v>
      </c>
      <c r="AL2601" s="1">
        <v>27</v>
      </c>
    </row>
    <row r="2602" spans="1:38" x14ac:dyDescent="0.2">
      <c r="A2602" s="2" t="str">
        <f>HYPERLINK("https://www.compass.com/listing/242-broome-street-unit-9d-manhattan-ny-10002/29514982215478961/","242 Broome St, Unit 9D")</f>
        <v>242 Broome St, Unit 9D</v>
      </c>
      <c r="B2602" s="2" t="str">
        <f t="shared" ref="B2602:B2605" si="417">HYPERLINK("https://www.compass.com/building/242-broome-essex-crossing-manhattan-ny/292776610392708181/","242 Broome, Essex Crossing")</f>
        <v>242 Broome, Essex Crossing</v>
      </c>
      <c r="C2602" s="1" t="s">
        <v>84</v>
      </c>
      <c r="D2602" s="1" t="s">
        <v>41</v>
      </c>
      <c r="E2602" s="3">
        <v>2716386</v>
      </c>
      <c r="F2602" s="1">
        <v>2112.2752721617398</v>
      </c>
      <c r="G2602" s="1">
        <v>4</v>
      </c>
      <c r="H2602" s="1">
        <v>2</v>
      </c>
      <c r="I2602" s="1">
        <v>2</v>
      </c>
      <c r="J2602" s="1">
        <v>2</v>
      </c>
      <c r="K2602" s="1">
        <v>2</v>
      </c>
      <c r="M2602" s="4">
        <v>1286</v>
      </c>
      <c r="N2602" s="1">
        <v>2515</v>
      </c>
      <c r="O2602" s="1">
        <v>3261</v>
      </c>
      <c r="P2602" s="1">
        <v>746</v>
      </c>
      <c r="Q2602" s="1" t="s">
        <v>42</v>
      </c>
      <c r="S2602" s="1" t="s">
        <v>42</v>
      </c>
      <c r="T2602" s="1" t="s">
        <v>203</v>
      </c>
      <c r="U2602" s="1">
        <v>6</v>
      </c>
      <c r="V2602" s="5">
        <v>44314</v>
      </c>
      <c r="W2602" s="5">
        <v>43217</v>
      </c>
      <c r="X2602" s="1">
        <v>2745000</v>
      </c>
      <c r="Y2602" s="1">
        <v>2745000</v>
      </c>
      <c r="Z2602" s="5">
        <v>43223</v>
      </c>
      <c r="AA2602" s="1">
        <v>2716386</v>
      </c>
      <c r="AB2602" s="1" t="s">
        <v>2000</v>
      </c>
      <c r="AC2602" s="5">
        <v>43308</v>
      </c>
      <c r="AF2602" s="1">
        <v>10002</v>
      </c>
      <c r="AI2602" s="1" t="s">
        <v>45</v>
      </c>
      <c r="AJ2602" s="1">
        <v>2018</v>
      </c>
      <c r="AK2602" s="1" t="s">
        <v>50</v>
      </c>
      <c r="AL2602" s="1">
        <v>55</v>
      </c>
    </row>
    <row r="2603" spans="1:38" x14ac:dyDescent="0.2">
      <c r="A2603" s="2" t="str">
        <f>HYPERLINK("https://www.compass.com/listing/242-broome-street-unit-6c-manhattan-ny-10002/29514985361138849/","242 Broome St, Unit 6C")</f>
        <v>242 Broome St, Unit 6C</v>
      </c>
      <c r="B2603" s="2" t="str">
        <f t="shared" si="417"/>
        <v>242 Broome, Essex Crossing</v>
      </c>
      <c r="C2603" s="1" t="s">
        <v>84</v>
      </c>
      <c r="D2603" s="1" t="s">
        <v>41</v>
      </c>
      <c r="E2603" s="3">
        <v>2090163</v>
      </c>
      <c r="F2603" s="1">
        <v>2079.7641791044698</v>
      </c>
      <c r="G2603" s="1">
        <v>3</v>
      </c>
      <c r="H2603" s="1">
        <v>1</v>
      </c>
      <c r="I2603" s="1">
        <v>2</v>
      </c>
      <c r="J2603" s="1">
        <v>1.5</v>
      </c>
      <c r="K2603" s="1">
        <v>1</v>
      </c>
      <c r="L2603" s="1">
        <v>1</v>
      </c>
      <c r="M2603" s="4">
        <v>1005</v>
      </c>
      <c r="N2603" s="1">
        <v>2188</v>
      </c>
      <c r="O2603" s="1">
        <v>2838</v>
      </c>
      <c r="P2603" s="1">
        <v>650</v>
      </c>
      <c r="Q2603" s="1" t="s">
        <v>42</v>
      </c>
      <c r="S2603" s="1" t="s">
        <v>42</v>
      </c>
      <c r="T2603" s="1" t="s">
        <v>203</v>
      </c>
      <c r="V2603" s="5">
        <v>44314</v>
      </c>
      <c r="W2603" s="5">
        <v>42845</v>
      </c>
      <c r="X2603" s="1">
        <v>2125000</v>
      </c>
      <c r="Y2603" s="1">
        <v>2125000</v>
      </c>
      <c r="Z2603" s="5">
        <v>42845</v>
      </c>
      <c r="AA2603" s="1">
        <v>2090163</v>
      </c>
      <c r="AB2603" s="1" t="s">
        <v>2001</v>
      </c>
      <c r="AC2603" s="5">
        <v>43293</v>
      </c>
      <c r="AF2603" s="1">
        <v>10002</v>
      </c>
      <c r="AI2603" s="1" t="s">
        <v>45</v>
      </c>
      <c r="AJ2603" s="1">
        <v>2018</v>
      </c>
      <c r="AK2603" s="1" t="s">
        <v>50</v>
      </c>
      <c r="AL2603" s="1">
        <v>55</v>
      </c>
    </row>
    <row r="2604" spans="1:38" x14ac:dyDescent="0.2">
      <c r="A2604" s="2" t="str">
        <f>HYPERLINK("https://www.compass.com/listing/242-broome-street-unit-10a-manhattan-ny-10002/29514981921836657/","242 Broome St, Unit 10A")</f>
        <v>242 Broome St, Unit 10A</v>
      </c>
      <c r="B2604" s="2" t="str">
        <f t="shared" si="417"/>
        <v>242 Broome, Essex Crossing</v>
      </c>
      <c r="C2604" s="1" t="s">
        <v>84</v>
      </c>
      <c r="D2604" s="1" t="s">
        <v>41</v>
      </c>
      <c r="E2604" s="3">
        <v>1703228</v>
      </c>
      <c r="F2604" s="1">
        <v>1763.1759834368499</v>
      </c>
      <c r="G2604" s="1">
        <v>3</v>
      </c>
      <c r="H2604" s="1">
        <v>1</v>
      </c>
      <c r="I2604" s="1">
        <v>1</v>
      </c>
      <c r="J2604" s="1">
        <v>1</v>
      </c>
      <c r="K2604" s="1">
        <v>1</v>
      </c>
      <c r="M2604" s="1">
        <v>966</v>
      </c>
      <c r="N2604" s="1">
        <v>1899</v>
      </c>
      <c r="O2604" s="1">
        <v>2462</v>
      </c>
      <c r="P2604" s="1">
        <v>563</v>
      </c>
      <c r="Q2604" s="1" t="s">
        <v>42</v>
      </c>
      <c r="S2604" s="1" t="s">
        <v>42</v>
      </c>
      <c r="T2604" s="1" t="s">
        <v>203</v>
      </c>
      <c r="V2604" s="5">
        <v>44314</v>
      </c>
      <c r="W2604" s="5">
        <v>42684</v>
      </c>
      <c r="X2604" s="1">
        <v>1670000</v>
      </c>
      <c r="Y2604" s="1">
        <v>1670000</v>
      </c>
      <c r="Z2604" s="5">
        <v>42684</v>
      </c>
      <c r="AA2604" s="1">
        <v>1703228</v>
      </c>
      <c r="AB2604" s="1" t="s">
        <v>2002</v>
      </c>
      <c r="AC2604" s="5">
        <v>43314</v>
      </c>
      <c r="AF2604" s="1">
        <v>10002</v>
      </c>
      <c r="AI2604" s="1" t="s">
        <v>45</v>
      </c>
      <c r="AJ2604" s="1">
        <v>2018</v>
      </c>
      <c r="AK2604" s="1" t="s">
        <v>50</v>
      </c>
      <c r="AL2604" s="1">
        <v>55</v>
      </c>
    </row>
    <row r="2605" spans="1:38" x14ac:dyDescent="0.2">
      <c r="A2605" s="2" t="str">
        <f>HYPERLINK("https://www.compass.com/listing/242-broome-street-unit-10b-manhattan-ny-10002/29514982718727281/","242 Broome St, Unit 10B")</f>
        <v>242 Broome St, Unit 10B</v>
      </c>
      <c r="B2605" s="2" t="str">
        <f t="shared" si="417"/>
        <v>242 Broome, Essex Crossing</v>
      </c>
      <c r="C2605" s="1" t="s">
        <v>84</v>
      </c>
      <c r="D2605" s="1" t="s">
        <v>41</v>
      </c>
      <c r="E2605" s="3">
        <v>1581038</v>
      </c>
      <c r="F2605" s="1">
        <v>2148.1494565217299</v>
      </c>
      <c r="G2605" s="1">
        <v>3</v>
      </c>
      <c r="H2605" s="1">
        <v>1</v>
      </c>
      <c r="I2605" s="1">
        <v>1</v>
      </c>
      <c r="J2605" s="1">
        <v>1</v>
      </c>
      <c r="K2605" s="1">
        <v>1</v>
      </c>
      <c r="M2605" s="1">
        <v>736</v>
      </c>
      <c r="N2605" s="1">
        <v>1447</v>
      </c>
      <c r="O2605" s="1">
        <v>1876</v>
      </c>
      <c r="P2605" s="1">
        <v>429</v>
      </c>
      <c r="Q2605" s="1" t="s">
        <v>42</v>
      </c>
      <c r="S2605" s="1" t="s">
        <v>42</v>
      </c>
      <c r="T2605" s="1" t="s">
        <v>203</v>
      </c>
      <c r="V2605" s="5">
        <v>44314</v>
      </c>
      <c r="W2605" s="5">
        <v>42704</v>
      </c>
      <c r="X2605" s="1">
        <v>1360000</v>
      </c>
      <c r="Y2605" s="1">
        <v>1695000</v>
      </c>
      <c r="Z2605" s="5">
        <v>42962</v>
      </c>
      <c r="AA2605" s="1">
        <v>1581038</v>
      </c>
      <c r="AB2605" s="1" t="s">
        <v>2003</v>
      </c>
      <c r="AC2605" s="5">
        <v>43301</v>
      </c>
      <c r="AF2605" s="1">
        <v>10002</v>
      </c>
      <c r="AI2605" s="1" t="s">
        <v>45</v>
      </c>
      <c r="AJ2605" s="1">
        <v>2018</v>
      </c>
      <c r="AK2605" s="1" t="s">
        <v>81</v>
      </c>
      <c r="AL2605" s="1">
        <v>55</v>
      </c>
    </row>
    <row r="2606" spans="1:38" x14ac:dyDescent="0.2">
      <c r="A2606" s="2" t="str">
        <f>HYPERLINK("https://www.compass.com/listing/150-rivington-street-unit-6c-manhattan-ny-10002/293300002002862481/","150 Rivington St, Unit 6C")</f>
        <v>150 Rivington St, Unit 6C</v>
      </c>
      <c r="B2606" s="2" t="str">
        <f t="shared" ref="B2606:B2608" si="418">HYPERLINK("https://www.compass.com/building/150-rivington-street-manhattan-ny/282058947895000453/","150 Rivington Street")</f>
        <v>150 Rivington Street</v>
      </c>
      <c r="C2606" s="1" t="s">
        <v>84</v>
      </c>
      <c r="D2606" s="1" t="s">
        <v>41</v>
      </c>
      <c r="E2606" s="3">
        <v>1395000</v>
      </c>
      <c r="F2606" s="1">
        <v>2045.45454545454</v>
      </c>
      <c r="G2606" s="1">
        <v>3</v>
      </c>
      <c r="H2606" s="1">
        <v>1</v>
      </c>
      <c r="I2606" s="1">
        <v>1</v>
      </c>
      <c r="J2606" s="1">
        <v>1</v>
      </c>
      <c r="K2606" s="1">
        <v>1</v>
      </c>
      <c r="M2606" s="1">
        <v>682</v>
      </c>
      <c r="N2606" s="1">
        <v>965</v>
      </c>
      <c r="O2606" s="1">
        <v>1968</v>
      </c>
      <c r="P2606" s="1">
        <v>1003</v>
      </c>
      <c r="Q2606" s="1" t="s">
        <v>42</v>
      </c>
      <c r="S2606" s="1" t="s">
        <v>42</v>
      </c>
      <c r="T2606" s="1" t="s">
        <v>203</v>
      </c>
      <c r="U2606" s="1">
        <v>4</v>
      </c>
      <c r="V2606" s="5">
        <v>43694</v>
      </c>
      <c r="W2606" s="5">
        <v>43274</v>
      </c>
      <c r="X2606" s="1">
        <v>1395000</v>
      </c>
      <c r="Y2606" s="1">
        <v>1395000</v>
      </c>
      <c r="Z2606" s="5">
        <v>43278</v>
      </c>
      <c r="AA2606" s="1">
        <v>1395000</v>
      </c>
      <c r="AB2606" s="1" t="s">
        <v>2004</v>
      </c>
      <c r="AC2606" s="5">
        <v>43637</v>
      </c>
      <c r="AF2606" s="1">
        <v>10002</v>
      </c>
      <c r="AI2606" s="1" t="s">
        <v>1945</v>
      </c>
      <c r="AJ2606" s="1">
        <v>2019</v>
      </c>
      <c r="AK2606" s="1" t="s">
        <v>87</v>
      </c>
      <c r="AL2606" s="1">
        <v>45</v>
      </c>
    </row>
    <row r="2607" spans="1:38" x14ac:dyDescent="0.2">
      <c r="A2607" s="2" t="str">
        <f>HYPERLINK("https://www.compass.com/listing/150-rivington-street-unit-4e-manhattan-ny-10002/231670448360823905/","150 Rivington St, Unit 4E")</f>
        <v>150 Rivington St, Unit 4E</v>
      </c>
      <c r="B2607" s="2" t="str">
        <f t="shared" si="418"/>
        <v>150 Rivington Street</v>
      </c>
      <c r="C2607" s="1" t="s">
        <v>84</v>
      </c>
      <c r="D2607" s="1" t="s">
        <v>41</v>
      </c>
      <c r="E2607" s="3">
        <v>2095000</v>
      </c>
      <c r="F2607" s="1">
        <v>1967.1361502347399</v>
      </c>
      <c r="G2607" s="1">
        <v>4</v>
      </c>
      <c r="H2607" s="1">
        <v>2</v>
      </c>
      <c r="I2607" s="1">
        <v>2</v>
      </c>
      <c r="J2607" s="1">
        <v>2</v>
      </c>
      <c r="K2607" s="1">
        <v>2</v>
      </c>
      <c r="M2607" s="4">
        <v>1065</v>
      </c>
      <c r="N2607" s="1">
        <v>1493</v>
      </c>
      <c r="O2607" s="1">
        <v>3044</v>
      </c>
      <c r="P2607" s="1">
        <v>1551</v>
      </c>
      <c r="Q2607" s="1" t="s">
        <v>42</v>
      </c>
      <c r="S2607" s="1" t="s">
        <v>42</v>
      </c>
      <c r="T2607" s="1" t="s">
        <v>203</v>
      </c>
      <c r="U2607" s="1">
        <v>87</v>
      </c>
      <c r="V2607" s="5">
        <v>43678</v>
      </c>
      <c r="W2607" s="5">
        <v>43571</v>
      </c>
      <c r="X2607" s="1">
        <v>2195000</v>
      </c>
      <c r="Y2607" s="1">
        <v>2195000</v>
      </c>
      <c r="Z2607" s="5">
        <v>43659</v>
      </c>
      <c r="AA2607" s="1">
        <v>2095000</v>
      </c>
      <c r="AB2607" s="1" t="s">
        <v>305</v>
      </c>
      <c r="AC2607" s="5">
        <v>43685</v>
      </c>
      <c r="AF2607" s="1">
        <v>10002</v>
      </c>
      <c r="AI2607" s="1" t="s">
        <v>1945</v>
      </c>
      <c r="AJ2607" s="1">
        <v>2019</v>
      </c>
      <c r="AK2607" s="1" t="s">
        <v>87</v>
      </c>
      <c r="AL2607" s="1">
        <v>45</v>
      </c>
    </row>
    <row r="2608" spans="1:38" x14ac:dyDescent="0.2">
      <c r="A2608" s="2" t="str">
        <f>HYPERLINK("https://www.compass.com/listing/150-rivington-street-unit-5a-manhattan-ny-10002/96129222094921313/","150 Rivington St, Unit 5A")</f>
        <v>150 Rivington St, Unit 5A</v>
      </c>
      <c r="B2608" s="2" t="str">
        <f t="shared" si="418"/>
        <v>150 Rivington Street</v>
      </c>
      <c r="C2608" s="1" t="s">
        <v>84</v>
      </c>
      <c r="D2608" s="1" t="s">
        <v>41</v>
      </c>
      <c r="E2608" s="3">
        <v>2415000</v>
      </c>
      <c r="F2608" s="1">
        <v>1984.38783894823</v>
      </c>
      <c r="G2608" s="1">
        <v>4</v>
      </c>
      <c r="H2608" s="1">
        <v>2</v>
      </c>
      <c r="I2608" s="1">
        <v>3</v>
      </c>
      <c r="J2608" s="1">
        <v>2.5</v>
      </c>
      <c r="K2608" s="1">
        <v>2</v>
      </c>
      <c r="L2608" s="1">
        <v>1</v>
      </c>
      <c r="M2608" s="4">
        <v>1217</v>
      </c>
      <c r="N2608" s="1">
        <v>1494</v>
      </c>
      <c r="O2608" s="1">
        <v>3275</v>
      </c>
      <c r="P2608" s="1">
        <v>1781</v>
      </c>
      <c r="Q2608" s="1" t="s">
        <v>42</v>
      </c>
      <c r="S2608" s="1" t="s">
        <v>42</v>
      </c>
      <c r="T2608" s="1" t="s">
        <v>203</v>
      </c>
      <c r="U2608" s="1">
        <v>56</v>
      </c>
      <c r="V2608" s="5">
        <v>43678</v>
      </c>
      <c r="W2608" s="5">
        <v>43384</v>
      </c>
      <c r="X2608" s="1">
        <v>2475000</v>
      </c>
      <c r="Y2608" s="1">
        <v>2475000</v>
      </c>
      <c r="AA2608" s="1">
        <v>2415000</v>
      </c>
      <c r="AB2608" s="1" t="s">
        <v>2005</v>
      </c>
      <c r="AC2608" s="5">
        <v>43552</v>
      </c>
      <c r="AF2608" s="1">
        <v>10002</v>
      </c>
      <c r="AI2608" s="1" t="s">
        <v>1934</v>
      </c>
      <c r="AJ2608" s="1">
        <v>2019</v>
      </c>
      <c r="AK2608" s="1" t="s">
        <v>87</v>
      </c>
      <c r="AL2608" s="1">
        <v>45</v>
      </c>
    </row>
    <row r="2609" spans="1:38" x14ac:dyDescent="0.2">
      <c r="A2609" s="2" t="str">
        <f>HYPERLINK("https://www.compass.com/listing/25-park-row-unit-9c-manhattan-ny-10038/568905365117528033/","25 Park Row, Unit 9C")</f>
        <v>25 Park Row, Unit 9C</v>
      </c>
      <c r="B2609" s="2" t="str">
        <f t="shared" ref="B2609:B2610" si="419">HYPERLINK("https://www.compass.com/building/25-park-row-manhattan-ny-10038/292920743539264837/","25 Park Row")</f>
        <v>25 Park Row</v>
      </c>
      <c r="C2609" s="1" t="s">
        <v>155</v>
      </c>
      <c r="D2609" s="1" t="s">
        <v>41</v>
      </c>
      <c r="E2609" s="3">
        <v>2500000</v>
      </c>
      <c r="F2609" s="1">
        <v>1857.35512630014</v>
      </c>
      <c r="G2609" s="1">
        <v>4</v>
      </c>
      <c r="H2609" s="1">
        <v>2</v>
      </c>
      <c r="I2609" s="1">
        <v>3</v>
      </c>
      <c r="J2609" s="1">
        <v>2.5</v>
      </c>
      <c r="K2609" s="1">
        <v>2</v>
      </c>
      <c r="L2609" s="1">
        <v>1</v>
      </c>
      <c r="M2609" s="4">
        <v>1346</v>
      </c>
      <c r="N2609" s="1">
        <v>1641.94</v>
      </c>
      <c r="O2609" s="1">
        <v>3284.1</v>
      </c>
      <c r="P2609" s="1">
        <v>1642.1666666666599</v>
      </c>
      <c r="Q2609" s="1" t="s">
        <v>42</v>
      </c>
      <c r="S2609" s="1" t="s">
        <v>42</v>
      </c>
      <c r="T2609" s="1" t="s">
        <v>203</v>
      </c>
      <c r="U2609" s="1">
        <v>426</v>
      </c>
      <c r="V2609" s="5">
        <v>44037</v>
      </c>
      <c r="W2609" s="5">
        <v>43515</v>
      </c>
      <c r="X2609" s="1">
        <v>2500000</v>
      </c>
      <c r="Y2609" s="1">
        <v>2500000</v>
      </c>
      <c r="AA2609" s="1">
        <v>2500000</v>
      </c>
      <c r="AB2609" s="1" t="s">
        <v>2006</v>
      </c>
      <c r="AC2609" s="5">
        <v>44036</v>
      </c>
      <c r="AF2609" s="1">
        <v>10038</v>
      </c>
      <c r="AI2609" s="1" t="s">
        <v>181</v>
      </c>
      <c r="AJ2609" s="1">
        <v>2019</v>
      </c>
      <c r="AK2609" s="1" t="s">
        <v>87</v>
      </c>
      <c r="AL2609" s="1">
        <v>110</v>
      </c>
    </row>
    <row r="2610" spans="1:38" x14ac:dyDescent="0.2">
      <c r="A2610" s="2" t="str">
        <f>HYPERLINK("https://www.compass.com/listing/25-park-row-unit-17b-manhattan-ny-10038/223044029204400321/","25 Park Row, Unit 17B")</f>
        <v>25 Park Row, Unit 17B</v>
      </c>
      <c r="B2610" s="2" t="str">
        <f t="shared" si="419"/>
        <v>25 Park Row</v>
      </c>
      <c r="C2610" s="1" t="s">
        <v>155</v>
      </c>
      <c r="D2610" s="1" t="s">
        <v>41</v>
      </c>
      <c r="E2610" s="3">
        <v>2225000</v>
      </c>
      <c r="F2610" s="1">
        <v>2006.3119927862899</v>
      </c>
      <c r="G2610" s="1">
        <v>4</v>
      </c>
      <c r="H2610" s="1">
        <v>2</v>
      </c>
      <c r="I2610" s="1">
        <v>2</v>
      </c>
      <c r="J2610" s="1">
        <v>2</v>
      </c>
      <c r="K2610" s="1">
        <v>2</v>
      </c>
      <c r="M2610" s="4">
        <v>1109</v>
      </c>
      <c r="N2610" s="1">
        <v>1370.07</v>
      </c>
      <c r="O2610" s="1">
        <v>2740.3199999999902</v>
      </c>
      <c r="P2610" s="1">
        <v>1370.25</v>
      </c>
      <c r="Q2610" s="1" t="s">
        <v>42</v>
      </c>
      <c r="S2610" s="1" t="s">
        <v>42</v>
      </c>
      <c r="T2610" s="1" t="s">
        <v>203</v>
      </c>
      <c r="U2610" s="1">
        <v>35</v>
      </c>
      <c r="V2610" s="5">
        <v>44067</v>
      </c>
      <c r="W2610" s="5">
        <v>43559</v>
      </c>
      <c r="X2610" s="1">
        <v>2200000</v>
      </c>
      <c r="AB2610" s="1" t="s">
        <v>204</v>
      </c>
      <c r="AF2610" s="1">
        <v>10038</v>
      </c>
      <c r="AI2610" s="1" t="s">
        <v>181</v>
      </c>
      <c r="AJ2610" s="1">
        <v>2019</v>
      </c>
      <c r="AK2610" s="1" t="s">
        <v>87</v>
      </c>
      <c r="AL2610" s="1">
        <v>110</v>
      </c>
    </row>
    <row r="2611" spans="1:38" x14ac:dyDescent="0.2">
      <c r="A2611" s="2" t="str">
        <f>HYPERLINK("https://www.compass.com/listing/150-rivington-street-unit-phc-manhattan-ny-10002/29514918185231489/","150 Rivington St, Unit PHC")</f>
        <v>150 Rivington St, Unit PHC</v>
      </c>
      <c r="B2611" s="2" t="str">
        <f>HYPERLINK("https://www.compass.com/building/150-rivington-street-manhattan-ny/282058947895000453/","150 Rivington Street")</f>
        <v>150 Rivington Street</v>
      </c>
      <c r="C2611" s="1" t="s">
        <v>84</v>
      </c>
      <c r="D2611" s="1" t="s">
        <v>41</v>
      </c>
      <c r="E2611" s="3">
        <v>3801073</v>
      </c>
      <c r="F2611" s="1">
        <v>2605.2587388622301</v>
      </c>
      <c r="G2611" s="1">
        <v>5</v>
      </c>
      <c r="H2611" s="1">
        <v>3</v>
      </c>
      <c r="I2611" s="1">
        <v>3</v>
      </c>
      <c r="J2611" s="1">
        <v>3</v>
      </c>
      <c r="K2611" s="1">
        <v>3</v>
      </c>
      <c r="M2611" s="4">
        <v>1459</v>
      </c>
      <c r="N2611" s="1">
        <v>2305</v>
      </c>
      <c r="O2611" s="1">
        <v>4703</v>
      </c>
      <c r="P2611" s="1">
        <v>2398</v>
      </c>
      <c r="Q2611" s="1" t="s">
        <v>42</v>
      </c>
      <c r="S2611" s="1" t="s">
        <v>42</v>
      </c>
      <c r="T2611" s="1" t="s">
        <v>203</v>
      </c>
      <c r="U2611" s="1">
        <v>413</v>
      </c>
      <c r="V2611" s="5">
        <v>43678</v>
      </c>
      <c r="W2611" s="5">
        <v>42759</v>
      </c>
      <c r="X2611" s="1">
        <v>3730</v>
      </c>
      <c r="Y2611" s="1">
        <v>3730000</v>
      </c>
      <c r="Z2611" s="5">
        <v>43173</v>
      </c>
      <c r="AA2611" s="1">
        <v>3801072.5</v>
      </c>
      <c r="AB2611" s="1" t="s">
        <v>304</v>
      </c>
      <c r="AC2611" s="5">
        <v>43679</v>
      </c>
      <c r="AF2611" s="1">
        <v>10002</v>
      </c>
      <c r="AI2611" s="1" t="s">
        <v>2007</v>
      </c>
      <c r="AJ2611" s="1">
        <v>2019</v>
      </c>
      <c r="AK2611" s="1" t="s">
        <v>87</v>
      </c>
      <c r="AL2611" s="1">
        <v>45</v>
      </c>
    </row>
    <row r="2612" spans="1:38" x14ac:dyDescent="0.2">
      <c r="A2612" s="2" t="str">
        <f>HYPERLINK("https://www.compass.com/listing/25-park-row-unit-10c-manhattan-ny-10038/178467156923537489/","25 Park Row, Unit 10C")</f>
        <v>25 Park Row, Unit 10C</v>
      </c>
      <c r="B2612" s="2" t="str">
        <f t="shared" ref="B2612:B2624" si="420">HYPERLINK("https://www.compass.com/building/25-park-row-manhattan-ny-10038/292920743539264837/","25 Park Row")</f>
        <v>25 Park Row</v>
      </c>
      <c r="C2612" s="1" t="s">
        <v>155</v>
      </c>
      <c r="D2612" s="1" t="s">
        <v>41</v>
      </c>
      <c r="E2612" s="3">
        <v>2430000</v>
      </c>
      <c r="F2612" s="1">
        <v>1805.3491827637399</v>
      </c>
      <c r="G2612" s="1">
        <v>4.5</v>
      </c>
      <c r="H2612" s="1">
        <v>2</v>
      </c>
      <c r="I2612" s="1">
        <v>3</v>
      </c>
      <c r="J2612" s="1">
        <v>2.5</v>
      </c>
      <c r="K2612" s="1">
        <v>2</v>
      </c>
      <c r="L2612" s="1">
        <v>1</v>
      </c>
      <c r="M2612" s="4">
        <v>1346</v>
      </c>
      <c r="N2612" s="1">
        <v>1649.99</v>
      </c>
      <c r="O2612" s="1">
        <v>3300.2</v>
      </c>
      <c r="P2612" s="1">
        <v>1650.25</v>
      </c>
      <c r="Q2612" s="1" t="s">
        <v>42</v>
      </c>
      <c r="S2612" s="1" t="s">
        <v>42</v>
      </c>
      <c r="T2612" s="1" t="s">
        <v>203</v>
      </c>
      <c r="U2612" s="1">
        <v>66</v>
      </c>
      <c r="V2612" s="5">
        <v>44049</v>
      </c>
      <c r="W2612" s="5">
        <v>43493</v>
      </c>
      <c r="X2612" s="1">
        <v>2500000</v>
      </c>
      <c r="AB2612" s="1" t="s">
        <v>204</v>
      </c>
      <c r="AF2612" s="1">
        <v>10038</v>
      </c>
      <c r="AI2612" s="1" t="s">
        <v>2008</v>
      </c>
      <c r="AJ2612" s="1">
        <v>2019</v>
      </c>
      <c r="AK2612" s="1" t="s">
        <v>87</v>
      </c>
      <c r="AL2612" s="1">
        <v>110</v>
      </c>
    </row>
    <row r="2613" spans="1:38" x14ac:dyDescent="0.2">
      <c r="A2613" s="2" t="str">
        <f>HYPERLINK("https://www.compass.com/listing/25-park-row-unit-5c-manhattan-ny-10038/178469107769821025/","25 Park Row, Unit 5C")</f>
        <v>25 Park Row, Unit 5C</v>
      </c>
      <c r="B2613" s="2" t="str">
        <f t="shared" si="420"/>
        <v>25 Park Row</v>
      </c>
      <c r="C2613" s="1" t="s">
        <v>155</v>
      </c>
      <c r="D2613" s="1" t="s">
        <v>41</v>
      </c>
      <c r="E2613" s="3">
        <v>2325000</v>
      </c>
      <c r="F2613" s="1">
        <v>1727.34026745913</v>
      </c>
      <c r="G2613" s="1">
        <v>4.5</v>
      </c>
      <c r="H2613" s="1">
        <v>2</v>
      </c>
      <c r="I2613" s="1">
        <v>3</v>
      </c>
      <c r="J2613" s="1">
        <v>2.5</v>
      </c>
      <c r="K2613" s="1">
        <v>2</v>
      </c>
      <c r="L2613" s="1">
        <v>1</v>
      </c>
      <c r="M2613" s="4">
        <v>1346</v>
      </c>
      <c r="N2613" s="1">
        <v>1609.74</v>
      </c>
      <c r="O2613" s="1">
        <v>3219.7</v>
      </c>
      <c r="P2613" s="1">
        <v>1610</v>
      </c>
      <c r="Q2613" s="1" t="s">
        <v>42</v>
      </c>
      <c r="S2613" s="1" t="s">
        <v>42</v>
      </c>
      <c r="T2613" s="1" t="s">
        <v>203</v>
      </c>
      <c r="U2613" s="1">
        <v>52</v>
      </c>
      <c r="V2613" s="5">
        <v>44230</v>
      </c>
      <c r="W2613" s="5">
        <v>43493</v>
      </c>
      <c r="X2613" s="1">
        <v>2375000</v>
      </c>
      <c r="Z2613" s="5">
        <v>43522</v>
      </c>
      <c r="AB2613" s="1" t="s">
        <v>204</v>
      </c>
      <c r="AF2613" s="1">
        <v>10038</v>
      </c>
      <c r="AI2613" s="1" t="s">
        <v>181</v>
      </c>
      <c r="AJ2613" s="1">
        <v>2019</v>
      </c>
      <c r="AK2613" s="1" t="s">
        <v>87</v>
      </c>
      <c r="AL2613" s="1">
        <v>110</v>
      </c>
    </row>
    <row r="2614" spans="1:38" x14ac:dyDescent="0.2">
      <c r="A2614" s="2" t="str">
        <f>HYPERLINK("https://www.compass.com/listing/25-park-row-unit-29b-manhattan-ny-10038/178471553485265073/","25 Park Row, Unit 29B")</f>
        <v>25 Park Row, Unit 29B</v>
      </c>
      <c r="B2614" s="2" t="str">
        <f t="shared" si="420"/>
        <v>25 Park Row</v>
      </c>
      <c r="C2614" s="1" t="s">
        <v>155</v>
      </c>
      <c r="D2614" s="1" t="s">
        <v>41</v>
      </c>
      <c r="E2614" s="3">
        <v>2180000</v>
      </c>
      <c r="F2614" s="1">
        <v>1951.6562220232699</v>
      </c>
      <c r="G2614" s="1">
        <v>4</v>
      </c>
      <c r="H2614" s="1">
        <v>2</v>
      </c>
      <c r="I2614" s="1">
        <v>2</v>
      </c>
      <c r="J2614" s="1">
        <v>2</v>
      </c>
      <c r="K2614" s="1">
        <v>2</v>
      </c>
      <c r="M2614" s="4">
        <v>1117</v>
      </c>
      <c r="N2614" s="1">
        <v>1428.05</v>
      </c>
      <c r="O2614" s="1">
        <v>2856.29</v>
      </c>
      <c r="P2614" s="1">
        <v>1428.25</v>
      </c>
      <c r="Q2614" s="1" t="s">
        <v>42</v>
      </c>
      <c r="S2614" s="1" t="s">
        <v>42</v>
      </c>
      <c r="T2614" s="1" t="s">
        <v>203</v>
      </c>
      <c r="U2614" s="1">
        <v>66</v>
      </c>
      <c r="V2614" s="5">
        <v>44230</v>
      </c>
      <c r="W2614" s="5">
        <v>43493</v>
      </c>
      <c r="X2614" s="1">
        <v>2270000</v>
      </c>
      <c r="Y2614" s="1">
        <v>2270000</v>
      </c>
      <c r="Z2614" s="5">
        <v>44113</v>
      </c>
      <c r="AA2614" s="1">
        <v>2180000</v>
      </c>
      <c r="AB2614" s="1" t="s">
        <v>2009</v>
      </c>
      <c r="AC2614" s="5">
        <v>44225</v>
      </c>
      <c r="AF2614" s="1">
        <v>10038</v>
      </c>
      <c r="AI2614" s="1" t="s">
        <v>181</v>
      </c>
      <c r="AJ2614" s="1">
        <v>2019</v>
      </c>
      <c r="AK2614" s="1" t="s">
        <v>87</v>
      </c>
      <c r="AL2614" s="1">
        <v>110</v>
      </c>
    </row>
    <row r="2615" spans="1:38" x14ac:dyDescent="0.2">
      <c r="A2615" s="2" t="str">
        <f>HYPERLINK("https://www.compass.com/listing/25-park-row-unit-18b-manhattan-ny-10038/178473242263046129/","25 Park Row, Unit 18B")</f>
        <v>25 Park Row, Unit 18B</v>
      </c>
      <c r="B2615" s="2" t="str">
        <f t="shared" si="420"/>
        <v>25 Park Row</v>
      </c>
      <c r="C2615" s="1" t="s">
        <v>155</v>
      </c>
      <c r="D2615" s="1" t="s">
        <v>41</v>
      </c>
      <c r="E2615" s="3">
        <v>2175000</v>
      </c>
      <c r="F2615" s="1">
        <v>1961.2263300270499</v>
      </c>
      <c r="G2615" s="1">
        <v>4</v>
      </c>
      <c r="H2615" s="1">
        <v>2</v>
      </c>
      <c r="I2615" s="1">
        <v>2</v>
      </c>
      <c r="J2615" s="1">
        <v>2</v>
      </c>
      <c r="K2615" s="1">
        <v>2</v>
      </c>
      <c r="M2615" s="4">
        <v>1109</v>
      </c>
      <c r="N2615" s="1">
        <v>1374.05</v>
      </c>
      <c r="O2615" s="1">
        <v>2748.2799999999902</v>
      </c>
      <c r="P2615" s="1">
        <v>1374.25</v>
      </c>
      <c r="Q2615" s="1" t="s">
        <v>42</v>
      </c>
      <c r="S2615" s="1" t="s">
        <v>42</v>
      </c>
      <c r="T2615" s="1" t="s">
        <v>203</v>
      </c>
      <c r="U2615" s="1">
        <v>66</v>
      </c>
      <c r="V2615" s="5">
        <v>44067</v>
      </c>
      <c r="W2615" s="5">
        <v>43493</v>
      </c>
      <c r="X2615" s="1">
        <v>2225000</v>
      </c>
      <c r="AB2615" s="1" t="s">
        <v>204</v>
      </c>
      <c r="AF2615" s="1">
        <v>10038</v>
      </c>
      <c r="AI2615" s="1" t="s">
        <v>181</v>
      </c>
      <c r="AJ2615" s="1">
        <v>2019</v>
      </c>
      <c r="AK2615" s="1" t="s">
        <v>87</v>
      </c>
      <c r="AL2615" s="1">
        <v>110</v>
      </c>
    </row>
    <row r="2616" spans="1:38" x14ac:dyDescent="0.2">
      <c r="A2616" s="2" t="str">
        <f>HYPERLINK("https://www.compass.com/listing/25-park-row-unit-20b-manhattan-ny-10038/223044029447747585/","25 Park Row, Unit 20B")</f>
        <v>25 Park Row, Unit 20B</v>
      </c>
      <c r="B2616" s="2" t="str">
        <f t="shared" si="420"/>
        <v>25 Park Row</v>
      </c>
      <c r="C2616" s="1" t="s">
        <v>155</v>
      </c>
      <c r="D2616" s="1" t="s">
        <v>41</v>
      </c>
      <c r="E2616" s="3">
        <v>2275000</v>
      </c>
      <c r="F2616" s="1">
        <v>2051.3976555455301</v>
      </c>
      <c r="G2616" s="1">
        <v>4</v>
      </c>
      <c r="H2616" s="1">
        <v>2</v>
      </c>
      <c r="I2616" s="1">
        <v>2</v>
      </c>
      <c r="J2616" s="1">
        <v>2</v>
      </c>
      <c r="K2616" s="1">
        <v>2</v>
      </c>
      <c r="M2616" s="4">
        <v>1109</v>
      </c>
      <c r="N2616" s="1">
        <v>1382.01</v>
      </c>
      <c r="O2616" s="1">
        <v>2764.2</v>
      </c>
      <c r="P2616" s="1">
        <v>1382.1666666666599</v>
      </c>
      <c r="Q2616" s="1" t="s">
        <v>42</v>
      </c>
      <c r="S2616" s="1" t="s">
        <v>42</v>
      </c>
      <c r="T2616" s="1" t="s">
        <v>203</v>
      </c>
      <c r="U2616" s="1">
        <v>28</v>
      </c>
      <c r="V2616" s="5">
        <v>44047</v>
      </c>
      <c r="W2616" s="5">
        <v>43559</v>
      </c>
      <c r="X2616" s="1">
        <v>2275000</v>
      </c>
      <c r="AB2616" s="1" t="s">
        <v>204</v>
      </c>
      <c r="AF2616" s="1">
        <v>10038</v>
      </c>
      <c r="AI2616" s="1" t="s">
        <v>181</v>
      </c>
      <c r="AJ2616" s="1">
        <v>2019</v>
      </c>
      <c r="AK2616" s="1" t="s">
        <v>87</v>
      </c>
      <c r="AL2616" s="1">
        <v>110</v>
      </c>
    </row>
    <row r="2617" spans="1:38" x14ac:dyDescent="0.2">
      <c r="A2617" s="2" t="str">
        <f>HYPERLINK("https://www.compass.com/listing/25-park-row-unit-26b-manhattan-ny-10038/223044029724531537/","25 Park Row, Unit 26B")</f>
        <v>25 Park Row, Unit 26B</v>
      </c>
      <c r="B2617" s="2" t="str">
        <f t="shared" si="420"/>
        <v>25 Park Row</v>
      </c>
      <c r="C2617" s="1" t="s">
        <v>155</v>
      </c>
      <c r="D2617" s="1" t="s">
        <v>41</v>
      </c>
      <c r="E2617" s="3">
        <v>2225000</v>
      </c>
      <c r="F2617" s="1">
        <v>1991.9427036705399</v>
      </c>
      <c r="G2617" s="1">
        <v>4</v>
      </c>
      <c r="H2617" s="1">
        <v>2</v>
      </c>
      <c r="I2617" s="1">
        <v>2</v>
      </c>
      <c r="J2617" s="1">
        <v>2</v>
      </c>
      <c r="K2617" s="1">
        <v>2</v>
      </c>
      <c r="M2617" s="4">
        <v>1117</v>
      </c>
      <c r="N2617" s="1">
        <v>1416.02</v>
      </c>
      <c r="O2617" s="1">
        <v>2832.23</v>
      </c>
      <c r="P2617" s="1">
        <v>1416.25</v>
      </c>
      <c r="Q2617" s="1" t="s">
        <v>42</v>
      </c>
      <c r="S2617" s="1" t="s">
        <v>42</v>
      </c>
      <c r="T2617" s="1" t="s">
        <v>203</v>
      </c>
      <c r="U2617" s="1">
        <v>60</v>
      </c>
      <c r="V2617" s="5">
        <v>44087</v>
      </c>
      <c r="W2617" s="5">
        <v>43559</v>
      </c>
      <c r="X2617" s="1">
        <v>2210000</v>
      </c>
      <c r="Y2617" s="1">
        <v>2260000</v>
      </c>
      <c r="AA2617" s="1">
        <v>2225000</v>
      </c>
      <c r="AB2617" s="1" t="s">
        <v>2010</v>
      </c>
      <c r="AC2617" s="5">
        <v>44085</v>
      </c>
      <c r="AF2617" s="1">
        <v>10038</v>
      </c>
      <c r="AI2617" s="1" t="s">
        <v>181</v>
      </c>
      <c r="AJ2617" s="1">
        <v>2019</v>
      </c>
      <c r="AK2617" s="1" t="s">
        <v>87</v>
      </c>
      <c r="AL2617" s="1">
        <v>110</v>
      </c>
    </row>
    <row r="2618" spans="1:38" x14ac:dyDescent="0.2">
      <c r="A2618" s="2" t="str">
        <f>HYPERLINK("https://www.compass.com/listing/25-park-row-unit-31b-manhattan-ny-10038/223044029925820753/","25 Park Row, Unit 31B")</f>
        <v>25 Park Row, Unit 31B</v>
      </c>
      <c r="B2618" s="2" t="str">
        <f t="shared" si="420"/>
        <v>25 Park Row</v>
      </c>
      <c r="C2618" s="1" t="s">
        <v>155</v>
      </c>
      <c r="D2618" s="1" t="s">
        <v>41</v>
      </c>
      <c r="E2618" s="3">
        <v>2275000</v>
      </c>
      <c r="F2618" s="1">
        <v>2036.7054610564001</v>
      </c>
      <c r="G2618" s="1">
        <v>4</v>
      </c>
      <c r="H2618" s="1">
        <v>2</v>
      </c>
      <c r="I2618" s="1">
        <v>2</v>
      </c>
      <c r="J2618" s="1">
        <v>2</v>
      </c>
      <c r="K2618" s="1">
        <v>2</v>
      </c>
      <c r="M2618" s="4">
        <v>1117</v>
      </c>
      <c r="N2618" s="1">
        <v>1436.06</v>
      </c>
      <c r="O2618" s="1">
        <v>2872.31</v>
      </c>
      <c r="P2618" s="1">
        <v>1436.25</v>
      </c>
      <c r="Q2618" s="1" t="s">
        <v>42</v>
      </c>
      <c r="S2618" s="1" t="s">
        <v>42</v>
      </c>
      <c r="T2618" s="1" t="s">
        <v>203</v>
      </c>
      <c r="U2618" s="1">
        <v>28</v>
      </c>
      <c r="V2618" s="5">
        <v>44056</v>
      </c>
      <c r="W2618" s="5">
        <v>43559</v>
      </c>
      <c r="X2618" s="1">
        <v>2310000</v>
      </c>
      <c r="AB2618" s="1" t="s">
        <v>204</v>
      </c>
      <c r="AF2618" s="1">
        <v>10038</v>
      </c>
      <c r="AI2618" s="1" t="s">
        <v>181</v>
      </c>
      <c r="AJ2618" s="1">
        <v>2019</v>
      </c>
      <c r="AK2618" s="1" t="s">
        <v>87</v>
      </c>
      <c r="AL2618" s="1">
        <v>110</v>
      </c>
    </row>
    <row r="2619" spans="1:38" x14ac:dyDescent="0.2">
      <c r="A2619" s="2" t="str">
        <f>HYPERLINK("https://www.compass.com/listing/25-park-row-unit-7c-manhattan-ny-10038/223044030278220033/","25 Park Row, Unit 7C")</f>
        <v>25 Park Row, Unit 7C</v>
      </c>
      <c r="B2619" s="2" t="str">
        <f t="shared" si="420"/>
        <v>25 Park Row</v>
      </c>
      <c r="C2619" s="1" t="s">
        <v>155</v>
      </c>
      <c r="D2619" s="1" t="s">
        <v>41</v>
      </c>
      <c r="E2619" s="3">
        <v>2400000</v>
      </c>
      <c r="F2619" s="1">
        <v>1783.0609212481399</v>
      </c>
      <c r="G2619" s="1">
        <v>4.5</v>
      </c>
      <c r="H2619" s="1">
        <v>2</v>
      </c>
      <c r="I2619" s="1">
        <v>3</v>
      </c>
      <c r="J2619" s="1">
        <v>2.5</v>
      </c>
      <c r="K2619" s="1">
        <v>2</v>
      </c>
      <c r="L2619" s="1">
        <v>1</v>
      </c>
      <c r="M2619" s="4">
        <v>1346</v>
      </c>
      <c r="N2619" s="1">
        <v>1625.84</v>
      </c>
      <c r="O2619" s="1">
        <v>3251.8999999999901</v>
      </c>
      <c r="P2619" s="1">
        <v>1626.0833333333301</v>
      </c>
      <c r="Q2619" s="1" t="s">
        <v>42</v>
      </c>
      <c r="S2619" s="1" t="s">
        <v>42</v>
      </c>
      <c r="T2619" s="1" t="s">
        <v>203</v>
      </c>
      <c r="U2619" s="1">
        <v>28</v>
      </c>
      <c r="V2619" s="5">
        <v>44045</v>
      </c>
      <c r="W2619" s="5">
        <v>43559</v>
      </c>
      <c r="X2619" s="1">
        <v>2425000</v>
      </c>
      <c r="AB2619" s="1" t="s">
        <v>204</v>
      </c>
      <c r="AF2619" s="1">
        <v>10038</v>
      </c>
      <c r="AI2619" s="1" t="s">
        <v>2008</v>
      </c>
      <c r="AJ2619" s="1">
        <v>2019</v>
      </c>
      <c r="AK2619" s="1" t="s">
        <v>87</v>
      </c>
      <c r="AL2619" s="1">
        <v>110</v>
      </c>
    </row>
    <row r="2620" spans="1:38" x14ac:dyDescent="0.2">
      <c r="A2620" s="2" t="str">
        <f>HYPERLINK("https://www.compass.com/listing/25-park-row-unit-30b-manhattan-ny-10038/243338150854801377/","25 Park Row, Unit 30B")</f>
        <v>25 Park Row, Unit 30B</v>
      </c>
      <c r="B2620" s="2" t="str">
        <f t="shared" si="420"/>
        <v>25 Park Row</v>
      </c>
      <c r="C2620" s="1" t="s">
        <v>155</v>
      </c>
      <c r="D2620" s="1" t="s">
        <v>41</v>
      </c>
      <c r="E2620" s="3">
        <v>2300000</v>
      </c>
      <c r="F2620" s="1">
        <v>2059.08683974932</v>
      </c>
      <c r="G2620" s="1">
        <v>4</v>
      </c>
      <c r="H2620" s="1">
        <v>2</v>
      </c>
      <c r="I2620" s="1">
        <v>2</v>
      </c>
      <c r="J2620" s="1">
        <v>2</v>
      </c>
      <c r="K2620" s="1">
        <v>2</v>
      </c>
      <c r="M2620" s="4">
        <v>1117</v>
      </c>
      <c r="N2620" s="1">
        <v>1432.05</v>
      </c>
      <c r="O2620" s="1">
        <v>2864.3</v>
      </c>
      <c r="P2620" s="1">
        <v>1432.25</v>
      </c>
      <c r="Q2620" s="1" t="s">
        <v>42</v>
      </c>
      <c r="S2620" s="1" t="s">
        <v>42</v>
      </c>
      <c r="T2620" s="1" t="s">
        <v>203</v>
      </c>
      <c r="U2620" s="1">
        <v>32</v>
      </c>
      <c r="V2620" s="5">
        <v>44069</v>
      </c>
      <c r="W2620" s="5">
        <v>43587</v>
      </c>
      <c r="X2620" s="1">
        <v>2340000</v>
      </c>
      <c r="AB2620" s="1" t="s">
        <v>204</v>
      </c>
      <c r="AF2620" s="1">
        <v>10038</v>
      </c>
      <c r="AI2620" s="1" t="s">
        <v>181</v>
      </c>
      <c r="AJ2620" s="1">
        <v>2019</v>
      </c>
      <c r="AK2620" s="1" t="s">
        <v>87</v>
      </c>
      <c r="AL2620" s="1">
        <v>110</v>
      </c>
    </row>
    <row r="2621" spans="1:38" x14ac:dyDescent="0.2">
      <c r="A2621" s="2" t="str">
        <f>HYPERLINK("https://www.compass.com/listing/25-park-row-unit-8c-manhattan-ny-10038/243338151123294241/","25 Park Row, Unit 8C")</f>
        <v>25 Park Row, Unit 8C</v>
      </c>
      <c r="B2621" s="2" t="str">
        <f t="shared" si="420"/>
        <v>25 Park Row</v>
      </c>
      <c r="C2621" s="1" t="s">
        <v>155</v>
      </c>
      <c r="D2621" s="1" t="s">
        <v>41</v>
      </c>
      <c r="E2621" s="3">
        <v>2500000</v>
      </c>
      <c r="F2621" s="1">
        <v>1857.35512630014</v>
      </c>
      <c r="G2621" s="1">
        <v>4</v>
      </c>
      <c r="H2621" s="1">
        <v>2</v>
      </c>
      <c r="I2621" s="1">
        <v>3</v>
      </c>
      <c r="J2621" s="1">
        <v>2.5</v>
      </c>
      <c r="K2621" s="1">
        <v>2</v>
      </c>
      <c r="L2621" s="1">
        <v>1</v>
      </c>
      <c r="M2621" s="4">
        <v>1346</v>
      </c>
      <c r="N2621" s="1">
        <v>1633.89</v>
      </c>
      <c r="O2621" s="1">
        <v>3268</v>
      </c>
      <c r="P2621" s="1">
        <v>1634.0833333333301</v>
      </c>
      <c r="Q2621" s="1" t="s">
        <v>42</v>
      </c>
      <c r="S2621" s="1" t="s">
        <v>42</v>
      </c>
      <c r="T2621" s="1" t="s">
        <v>203</v>
      </c>
      <c r="U2621" s="1">
        <v>153</v>
      </c>
      <c r="V2621" s="5">
        <v>44067</v>
      </c>
      <c r="W2621" s="5">
        <v>43587</v>
      </c>
      <c r="X2621" s="1">
        <v>2510000</v>
      </c>
      <c r="AB2621" s="1" t="s">
        <v>204</v>
      </c>
      <c r="AF2621" s="1">
        <v>10038</v>
      </c>
      <c r="AI2621" s="1" t="s">
        <v>181</v>
      </c>
      <c r="AJ2621" s="1">
        <v>2019</v>
      </c>
      <c r="AK2621" s="1" t="s">
        <v>87</v>
      </c>
      <c r="AL2621" s="1">
        <v>110</v>
      </c>
    </row>
    <row r="2622" spans="1:38" x14ac:dyDescent="0.2">
      <c r="A2622" s="2" t="str">
        <f>HYPERLINK("https://www.compass.com/listing/25-park-row-unit-7a-manhattan-ny-10038/266602880763456929/","25 Park Row, Unit 7A")</f>
        <v>25 Park Row, Unit 7A</v>
      </c>
      <c r="B2622" s="2" t="str">
        <f t="shared" si="420"/>
        <v>25 Park Row</v>
      </c>
      <c r="C2622" s="1" t="s">
        <v>155</v>
      </c>
      <c r="D2622" s="1" t="s">
        <v>41</v>
      </c>
      <c r="E2622" s="3">
        <v>2675000</v>
      </c>
      <c r="F2622" s="1">
        <v>1740.4033832140501</v>
      </c>
      <c r="G2622" s="1">
        <v>4</v>
      </c>
      <c r="H2622" s="1">
        <v>2</v>
      </c>
      <c r="I2622" s="1">
        <v>3</v>
      </c>
      <c r="J2622" s="1">
        <v>2.5</v>
      </c>
      <c r="K2622" s="1">
        <v>2</v>
      </c>
      <c r="L2622" s="1">
        <v>1</v>
      </c>
      <c r="M2622" s="4">
        <v>1537</v>
      </c>
      <c r="N2622" s="1">
        <v>1856.55</v>
      </c>
      <c r="O2622" s="1">
        <v>3713.35</v>
      </c>
      <c r="P2622" s="1">
        <v>1856.8333333333301</v>
      </c>
      <c r="Q2622" s="1" t="s">
        <v>42</v>
      </c>
      <c r="S2622" s="1" t="s">
        <v>42</v>
      </c>
      <c r="T2622" s="1" t="s">
        <v>203</v>
      </c>
      <c r="U2622" s="1">
        <v>50</v>
      </c>
      <c r="V2622" s="5">
        <v>44071</v>
      </c>
      <c r="W2622" s="5">
        <v>43860</v>
      </c>
      <c r="Y2622" s="1">
        <v>2740000</v>
      </c>
      <c r="AA2622" s="1">
        <v>2675000</v>
      </c>
      <c r="AB2622" s="1" t="s">
        <v>2011</v>
      </c>
      <c r="AC2622" s="5">
        <v>44070</v>
      </c>
      <c r="AF2622" s="1">
        <v>10038</v>
      </c>
      <c r="AI2622" s="1" t="s">
        <v>181</v>
      </c>
      <c r="AJ2622" s="1">
        <v>2019</v>
      </c>
      <c r="AK2622" s="1" t="s">
        <v>87</v>
      </c>
      <c r="AL2622" s="1">
        <v>110</v>
      </c>
    </row>
    <row r="2623" spans="1:38" x14ac:dyDescent="0.2">
      <c r="A2623" s="2" t="str">
        <f>HYPERLINK("https://www.compass.com/listing/25-park-row-unit-11c-manhattan-ny-10038/354172839897727729/","25 Park Row, Unit 11C")</f>
        <v>25 Park Row, Unit 11C</v>
      </c>
      <c r="B2623" s="2" t="str">
        <f t="shared" si="420"/>
        <v>25 Park Row</v>
      </c>
      <c r="C2623" s="1" t="s">
        <v>155</v>
      </c>
      <c r="D2623" s="1" t="s">
        <v>41</v>
      </c>
      <c r="E2623" s="3">
        <v>2550000</v>
      </c>
      <c r="F2623" s="1">
        <v>1942.11728865194</v>
      </c>
      <c r="G2623" s="1">
        <v>4.5</v>
      </c>
      <c r="H2623" s="1">
        <v>2</v>
      </c>
      <c r="I2623" s="1">
        <v>2</v>
      </c>
      <c r="J2623" s="1">
        <v>2</v>
      </c>
      <c r="K2623" s="1">
        <v>2</v>
      </c>
      <c r="M2623" s="4">
        <v>1313</v>
      </c>
      <c r="N2623" s="1">
        <v>1617.38</v>
      </c>
      <c r="O2623" s="1">
        <v>3234.98</v>
      </c>
      <c r="P2623" s="1">
        <v>1617.5833333333301</v>
      </c>
      <c r="Q2623" s="1" t="s">
        <v>42</v>
      </c>
      <c r="S2623" s="1" t="s">
        <v>42</v>
      </c>
      <c r="T2623" s="1" t="s">
        <v>203</v>
      </c>
      <c r="U2623" s="1">
        <v>55</v>
      </c>
      <c r="V2623" s="5">
        <v>44047</v>
      </c>
      <c r="W2623" s="5">
        <v>43740</v>
      </c>
      <c r="X2623" s="1">
        <v>2560000</v>
      </c>
      <c r="AB2623" s="1" t="s">
        <v>204</v>
      </c>
      <c r="AF2623" s="1">
        <v>10038</v>
      </c>
      <c r="AI2623" s="1" t="s">
        <v>181</v>
      </c>
      <c r="AJ2623" s="1">
        <v>2019</v>
      </c>
      <c r="AK2623" s="1" t="s">
        <v>87</v>
      </c>
      <c r="AL2623" s="1">
        <v>110</v>
      </c>
    </row>
    <row r="2624" spans="1:38" x14ac:dyDescent="0.2">
      <c r="A2624" s="2" t="str">
        <f>HYPERLINK("https://www.compass.com/listing/25-park-row-unit-14c-manhattan-ny-10038/440512061190119561/","25 Park Row, Unit 14C")</f>
        <v>25 Park Row, Unit 14C</v>
      </c>
      <c r="B2624" s="2" t="str">
        <f t="shared" si="420"/>
        <v>25 Park Row</v>
      </c>
      <c r="C2624" s="1" t="s">
        <v>155</v>
      </c>
      <c r="D2624" s="1" t="s">
        <v>41</v>
      </c>
      <c r="E2624" s="3">
        <v>2600000</v>
      </c>
      <c r="F2624" s="1">
        <v>2029.66432474629</v>
      </c>
      <c r="G2624" s="1">
        <v>4</v>
      </c>
      <c r="H2624" s="1">
        <v>2</v>
      </c>
      <c r="I2624" s="1">
        <v>2</v>
      </c>
      <c r="J2624" s="1">
        <v>2</v>
      </c>
      <c r="K2624" s="1">
        <v>2</v>
      </c>
      <c r="M2624" s="4">
        <v>1281</v>
      </c>
      <c r="N2624" s="1">
        <v>1593.29</v>
      </c>
      <c r="O2624" s="1">
        <v>3186.79</v>
      </c>
      <c r="P2624" s="1">
        <v>1593.5</v>
      </c>
      <c r="Q2624" s="1" t="s">
        <v>42</v>
      </c>
      <c r="S2624" s="1" t="s">
        <v>42</v>
      </c>
      <c r="T2624" s="1" t="s">
        <v>203</v>
      </c>
      <c r="U2624" s="1">
        <v>22</v>
      </c>
      <c r="V2624" s="5">
        <v>44093</v>
      </c>
      <c r="W2624" s="5">
        <v>43859</v>
      </c>
      <c r="X2624" s="1">
        <v>2610000</v>
      </c>
      <c r="Y2624" s="1">
        <v>2610000</v>
      </c>
      <c r="AA2624" s="1">
        <v>2600000</v>
      </c>
      <c r="AB2624" s="1" t="s">
        <v>2012</v>
      </c>
      <c r="AC2624" s="5">
        <v>44091</v>
      </c>
      <c r="AF2624" s="1">
        <v>10038</v>
      </c>
      <c r="AI2624" s="1" t="s">
        <v>2008</v>
      </c>
      <c r="AJ2624" s="1">
        <v>2019</v>
      </c>
      <c r="AK2624" s="1" t="s">
        <v>87</v>
      </c>
      <c r="AL2624" s="1">
        <v>110</v>
      </c>
    </row>
    <row r="2625" spans="1:38" x14ac:dyDescent="0.2">
      <c r="A2625" s="2" t="str">
        <f>HYPERLINK("https://www.compass.com/listing/242-broome-street-unit-8f-manhattan-ny-10002/29514979170414145/","242 Broome St, Unit 8F")</f>
        <v>242 Broome St, Unit 8F</v>
      </c>
      <c r="B2625" s="2" t="str">
        <f t="shared" ref="B2625:B2628" si="421">HYPERLINK("https://www.compass.com/building/242-broome-essex-crossing-manhattan-ny/292776610392708181/","242 Broome, Essex Crossing")</f>
        <v>242 Broome, Essex Crossing</v>
      </c>
      <c r="C2625" s="1" t="s">
        <v>84</v>
      </c>
      <c r="D2625" s="1" t="s">
        <v>41</v>
      </c>
      <c r="E2625" s="3">
        <v>2447128</v>
      </c>
      <c r="F2625" s="1">
        <v>1991.1537835638701</v>
      </c>
      <c r="G2625" s="1">
        <v>4</v>
      </c>
      <c r="H2625" s="1">
        <v>2</v>
      </c>
      <c r="I2625" s="1">
        <v>2</v>
      </c>
      <c r="J2625" s="1">
        <v>2</v>
      </c>
      <c r="K2625" s="1">
        <v>2</v>
      </c>
      <c r="M2625" s="4">
        <v>1229</v>
      </c>
      <c r="N2625" s="1">
        <v>2394</v>
      </c>
      <c r="O2625" s="1">
        <v>3104</v>
      </c>
      <c r="P2625" s="1">
        <v>710</v>
      </c>
      <c r="Q2625" s="1" t="s">
        <v>42</v>
      </c>
      <c r="S2625" s="1" t="s">
        <v>42</v>
      </c>
      <c r="T2625" s="1" t="s">
        <v>203</v>
      </c>
      <c r="U2625" s="1">
        <v>602</v>
      </c>
      <c r="V2625" s="5">
        <v>44427</v>
      </c>
      <c r="W2625" s="5">
        <v>42641</v>
      </c>
      <c r="X2625" s="1">
        <v>2500000</v>
      </c>
      <c r="Y2625" s="1">
        <v>2500000</v>
      </c>
      <c r="Z2625" s="5">
        <v>43243</v>
      </c>
      <c r="AA2625" s="1">
        <v>2447128</v>
      </c>
      <c r="AB2625" s="1" t="s">
        <v>2013</v>
      </c>
      <c r="AC2625" s="5">
        <v>43299</v>
      </c>
      <c r="AF2625" s="1">
        <v>10002</v>
      </c>
      <c r="AI2625" s="1" t="s">
        <v>45</v>
      </c>
      <c r="AJ2625" s="1">
        <v>2018</v>
      </c>
      <c r="AK2625" s="1" t="s">
        <v>50</v>
      </c>
      <c r="AL2625" s="1">
        <v>55</v>
      </c>
    </row>
    <row r="2626" spans="1:38" x14ac:dyDescent="0.2">
      <c r="A2626" s="2" t="str">
        <f>HYPERLINK("https://www.compass.com/listing/242-broome-street-unit-12c-manhattan-ny-10002/172502720454963553/","242 Broome St, Unit 12C")</f>
        <v>242 Broome St, Unit 12C</v>
      </c>
      <c r="B2626" s="2" t="str">
        <f t="shared" si="421"/>
        <v>242 Broome, Essex Crossing</v>
      </c>
      <c r="C2626" s="1" t="s">
        <v>84</v>
      </c>
      <c r="D2626" s="1" t="s">
        <v>41</v>
      </c>
      <c r="E2626" s="3">
        <v>2817500</v>
      </c>
      <c r="F2626" s="1">
        <v>2209.8039215686199</v>
      </c>
      <c r="G2626" s="1">
        <v>4</v>
      </c>
      <c r="H2626" s="1">
        <v>2</v>
      </c>
      <c r="I2626" s="1">
        <v>2</v>
      </c>
      <c r="J2626" s="1">
        <v>2</v>
      </c>
      <c r="K2626" s="1">
        <v>2</v>
      </c>
      <c r="M2626" s="4">
        <v>1275</v>
      </c>
      <c r="N2626" s="1">
        <v>2530</v>
      </c>
      <c r="O2626" s="1">
        <v>3281</v>
      </c>
      <c r="P2626" s="1">
        <v>751</v>
      </c>
      <c r="Q2626" s="1" t="s">
        <v>42</v>
      </c>
      <c r="S2626" s="1" t="s">
        <v>42</v>
      </c>
      <c r="T2626" s="1" t="s">
        <v>203</v>
      </c>
      <c r="U2626" s="1">
        <v>1058</v>
      </c>
      <c r="V2626" s="5">
        <v>44427</v>
      </c>
      <c r="W2626" s="5">
        <v>42579</v>
      </c>
      <c r="AA2626" s="1">
        <v>2817500</v>
      </c>
      <c r="AB2626" s="1" t="s">
        <v>2014</v>
      </c>
      <c r="AC2626" s="5">
        <v>43637</v>
      </c>
      <c r="AF2626" s="1">
        <v>10002</v>
      </c>
      <c r="AI2626" s="1" t="s">
        <v>45</v>
      </c>
      <c r="AJ2626" s="1">
        <v>2018</v>
      </c>
      <c r="AK2626" s="1" t="s">
        <v>50</v>
      </c>
      <c r="AL2626" s="1">
        <v>55</v>
      </c>
    </row>
    <row r="2627" spans="1:38" x14ac:dyDescent="0.2">
      <c r="A2627" s="2" t="str">
        <f>HYPERLINK("https://www.compass.com/listing/242-broome-street-unit-10d-manhattan-ny-10002/28301876931967537/","242 Broome St, Unit 10D")</f>
        <v>242 Broome St, Unit 10D</v>
      </c>
      <c r="B2627" s="2" t="str">
        <f t="shared" si="421"/>
        <v>242 Broome, Essex Crossing</v>
      </c>
      <c r="C2627" s="1" t="s">
        <v>84</v>
      </c>
      <c r="D2627" s="1" t="s">
        <v>41</v>
      </c>
      <c r="E2627" s="3">
        <v>2810000</v>
      </c>
      <c r="F2627" s="1">
        <v>2183.3721833721802</v>
      </c>
      <c r="G2627" s="1">
        <v>4</v>
      </c>
      <c r="H2627" s="1">
        <v>2</v>
      </c>
      <c r="I2627" s="1">
        <v>2</v>
      </c>
      <c r="J2627" s="1">
        <v>2</v>
      </c>
      <c r="K2627" s="1">
        <v>2</v>
      </c>
      <c r="M2627" s="4">
        <v>1287</v>
      </c>
      <c r="N2627" s="1">
        <v>2529</v>
      </c>
      <c r="O2627" s="1">
        <v>3280</v>
      </c>
      <c r="P2627" s="1">
        <v>751</v>
      </c>
      <c r="Q2627" s="1" t="s">
        <v>42</v>
      </c>
      <c r="S2627" s="1" t="s">
        <v>42</v>
      </c>
      <c r="T2627" s="1" t="s">
        <v>203</v>
      </c>
      <c r="U2627" s="1">
        <v>157</v>
      </c>
      <c r="V2627" s="5">
        <v>44427</v>
      </c>
      <c r="W2627" s="5">
        <v>43081</v>
      </c>
      <c r="X2627" s="1">
        <v>2790000</v>
      </c>
      <c r="Y2627" s="1">
        <v>2835000</v>
      </c>
      <c r="Z2627" s="5">
        <v>43335</v>
      </c>
      <c r="AA2627" s="1">
        <v>2810000</v>
      </c>
      <c r="AB2627" s="1" t="s">
        <v>2015</v>
      </c>
      <c r="AC2627" s="5">
        <v>43377</v>
      </c>
      <c r="AF2627" s="1">
        <v>10002</v>
      </c>
      <c r="AI2627" s="1" t="s">
        <v>45</v>
      </c>
      <c r="AJ2627" s="1">
        <v>2018</v>
      </c>
      <c r="AK2627" s="1" t="s">
        <v>50</v>
      </c>
      <c r="AL2627" s="1">
        <v>55</v>
      </c>
    </row>
    <row r="2628" spans="1:38" x14ac:dyDescent="0.2">
      <c r="A2628" s="2" t="str">
        <f>HYPERLINK("https://www.compass.com/listing/242-broome-street-unit-11c-manhattan-ny-10002/29669254555098369/","242 Broome St, Unit 11C")</f>
        <v>242 Broome St, Unit 11C</v>
      </c>
      <c r="B2628" s="2" t="str">
        <f t="shared" si="421"/>
        <v>242 Broome, Essex Crossing</v>
      </c>
      <c r="C2628" s="1" t="s">
        <v>84</v>
      </c>
      <c r="D2628" s="1" t="s">
        <v>41</v>
      </c>
      <c r="E2628" s="3">
        <v>2750000</v>
      </c>
      <c r="F2628" s="1">
        <v>2150.1172791243098</v>
      </c>
      <c r="G2628" s="1">
        <v>4</v>
      </c>
      <c r="H2628" s="1">
        <v>2</v>
      </c>
      <c r="I2628" s="1">
        <v>2</v>
      </c>
      <c r="J2628" s="1">
        <v>2</v>
      </c>
      <c r="K2628" s="1">
        <v>2</v>
      </c>
      <c r="M2628" s="4">
        <v>1279</v>
      </c>
      <c r="N2628" s="1">
        <v>2525</v>
      </c>
      <c r="O2628" s="1">
        <v>3275</v>
      </c>
      <c r="P2628" s="1">
        <v>750</v>
      </c>
      <c r="Q2628" s="1" t="s">
        <v>42</v>
      </c>
      <c r="S2628" s="1" t="s">
        <v>42</v>
      </c>
      <c r="T2628" s="1" t="s">
        <v>203</v>
      </c>
      <c r="U2628" s="1">
        <v>80</v>
      </c>
      <c r="V2628" s="5">
        <v>44427</v>
      </c>
      <c r="W2628" s="5">
        <v>43239</v>
      </c>
      <c r="X2628" s="1">
        <v>2885000</v>
      </c>
      <c r="Y2628" s="1">
        <v>2885000</v>
      </c>
      <c r="Z2628" s="5">
        <v>43319</v>
      </c>
      <c r="AA2628" s="1">
        <v>2750000</v>
      </c>
      <c r="AB2628" s="1" t="s">
        <v>2016</v>
      </c>
      <c r="AC2628" s="5">
        <v>43325</v>
      </c>
      <c r="AF2628" s="1">
        <v>10002</v>
      </c>
      <c r="AI2628" s="1" t="s">
        <v>45</v>
      </c>
      <c r="AJ2628" s="1">
        <v>2018</v>
      </c>
      <c r="AK2628" s="1" t="s">
        <v>50</v>
      </c>
      <c r="AL2628" s="1">
        <v>55</v>
      </c>
    </row>
    <row r="2629" spans="1:38" x14ac:dyDescent="0.2">
      <c r="A2629" s="2" t="str">
        <f>HYPERLINK("https://www.compass.com/listing/150-rivington-street-unit-pha-manhattan-ny-10002/282527006988544929/","150 Rivington St, Unit PHA")</f>
        <v>150 Rivington St, Unit PHA</v>
      </c>
      <c r="B2629" s="2" t="str">
        <f t="shared" ref="B2629:B2630" si="422">HYPERLINK("https://www.compass.com/building/150-rivington-street-manhattan-ny/282058947895000453/","150 Rivington Street")</f>
        <v>150 Rivington Street</v>
      </c>
      <c r="C2629" s="1" t="s">
        <v>84</v>
      </c>
      <c r="D2629" s="1" t="s">
        <v>41</v>
      </c>
      <c r="E2629" s="3">
        <v>4250000</v>
      </c>
      <c r="F2629" s="1">
        <v>2613.7761377613701</v>
      </c>
      <c r="G2629" s="1">
        <v>5</v>
      </c>
      <c r="H2629" s="1">
        <v>3</v>
      </c>
      <c r="I2629" s="1">
        <v>3</v>
      </c>
      <c r="J2629" s="1">
        <v>3</v>
      </c>
      <c r="K2629" s="1">
        <v>3</v>
      </c>
      <c r="M2629" s="4">
        <v>1626</v>
      </c>
      <c r="N2629" s="1">
        <v>2697</v>
      </c>
      <c r="O2629" s="1">
        <v>5501</v>
      </c>
      <c r="P2629" s="1">
        <v>2804</v>
      </c>
      <c r="Q2629" s="1" t="s">
        <v>42</v>
      </c>
      <c r="S2629" s="1" t="s">
        <v>42</v>
      </c>
      <c r="T2629" s="1" t="s">
        <v>203</v>
      </c>
      <c r="V2629" s="5">
        <v>43678</v>
      </c>
      <c r="W2629" s="5">
        <v>43642</v>
      </c>
      <c r="X2629" s="1">
        <v>4250000</v>
      </c>
      <c r="Y2629" s="1">
        <v>4250000</v>
      </c>
      <c r="Z2629" s="5">
        <v>43642</v>
      </c>
      <c r="AA2629" s="1">
        <v>4250000</v>
      </c>
      <c r="AB2629" s="1" t="s">
        <v>306</v>
      </c>
      <c r="AC2629" s="5">
        <v>43677</v>
      </c>
      <c r="AF2629" s="1">
        <v>10002</v>
      </c>
      <c r="AI2629" s="1" t="s">
        <v>2017</v>
      </c>
      <c r="AJ2629" s="1">
        <v>2019</v>
      </c>
      <c r="AK2629" s="1" t="s">
        <v>87</v>
      </c>
      <c r="AL2629" s="1">
        <v>45</v>
      </c>
    </row>
    <row r="2630" spans="1:38" x14ac:dyDescent="0.2">
      <c r="A2630" s="2" t="str">
        <f>HYPERLINK("https://www.compass.com/listing/150-rivington-street-unit-phb-manhattan-ny-10002/282527010251666753/","150 Rivington St, Unit PHB")</f>
        <v>150 Rivington St, Unit PHB</v>
      </c>
      <c r="B2630" s="2" t="str">
        <f t="shared" si="422"/>
        <v>150 Rivington Street</v>
      </c>
      <c r="C2630" s="1" t="s">
        <v>84</v>
      </c>
      <c r="D2630" s="1" t="s">
        <v>41</v>
      </c>
      <c r="E2630" s="3">
        <v>3895000</v>
      </c>
      <c r="F2630" s="1">
        <v>2660.5191256830599</v>
      </c>
      <c r="G2630" s="1">
        <v>5</v>
      </c>
      <c r="H2630" s="1">
        <v>3</v>
      </c>
      <c r="I2630" s="1">
        <v>3</v>
      </c>
      <c r="J2630" s="1">
        <v>3</v>
      </c>
      <c r="K2630" s="1">
        <v>3</v>
      </c>
      <c r="M2630" s="4">
        <v>1464</v>
      </c>
      <c r="N2630" s="1">
        <v>2425</v>
      </c>
      <c r="O2630" s="1">
        <v>4945</v>
      </c>
      <c r="P2630" s="1">
        <v>2520</v>
      </c>
      <c r="Q2630" s="1" t="s">
        <v>42</v>
      </c>
      <c r="S2630" s="1" t="s">
        <v>42</v>
      </c>
      <c r="T2630" s="1" t="s">
        <v>203</v>
      </c>
      <c r="V2630" s="5">
        <v>43678</v>
      </c>
      <c r="W2630" s="5">
        <v>43642</v>
      </c>
      <c r="X2630" s="1">
        <v>3895000</v>
      </c>
      <c r="Y2630" s="1">
        <v>3895000</v>
      </c>
      <c r="Z2630" s="5">
        <v>43642</v>
      </c>
      <c r="AA2630" s="1">
        <v>3895000</v>
      </c>
      <c r="AB2630" s="1" t="s">
        <v>307</v>
      </c>
      <c r="AC2630" s="5">
        <v>43682</v>
      </c>
      <c r="AF2630" s="1">
        <v>10002</v>
      </c>
      <c r="AI2630" s="1" t="s">
        <v>2018</v>
      </c>
      <c r="AJ2630" s="1">
        <v>2019</v>
      </c>
      <c r="AK2630" s="1" t="s">
        <v>87</v>
      </c>
      <c r="AL2630" s="1">
        <v>45</v>
      </c>
    </row>
    <row r="2631" spans="1:38" x14ac:dyDescent="0.2">
      <c r="A2631" s="2" t="str">
        <f>HYPERLINK("https://www.compass.com/listing/242-broome-street-unit-14a-manhattan-ny-10002/29514974825073985/","242 Broome St, Unit 14A")</f>
        <v>242 Broome St, Unit 14A</v>
      </c>
      <c r="B2631" s="2" t="str">
        <f>HYPERLINK("https://www.compass.com/building/242-broome-essex-crossing-manhattan-ny/292776610392708181/","242 Broome, Essex Crossing")</f>
        <v>242 Broome, Essex Crossing</v>
      </c>
      <c r="C2631" s="1" t="s">
        <v>84</v>
      </c>
      <c r="D2631" s="1" t="s">
        <v>41</v>
      </c>
      <c r="E2631" s="3">
        <v>1868256</v>
      </c>
      <c r="F2631" s="1">
        <v>1934.01242236024</v>
      </c>
      <c r="G2631" s="1">
        <v>3</v>
      </c>
      <c r="H2631" s="1">
        <v>1</v>
      </c>
      <c r="I2631" s="1">
        <v>2</v>
      </c>
      <c r="J2631" s="1">
        <v>1.5</v>
      </c>
      <c r="K2631" s="1">
        <v>1</v>
      </c>
      <c r="L2631" s="1">
        <v>1</v>
      </c>
      <c r="M2631" s="1">
        <v>966</v>
      </c>
      <c r="N2631" s="1">
        <v>1896</v>
      </c>
      <c r="O2631" s="1">
        <v>2459</v>
      </c>
      <c r="P2631" s="1">
        <v>563</v>
      </c>
      <c r="Q2631" s="1" t="s">
        <v>42</v>
      </c>
      <c r="S2631" s="1" t="s">
        <v>42</v>
      </c>
      <c r="T2631" s="1" t="s">
        <v>203</v>
      </c>
      <c r="V2631" s="5">
        <v>44427</v>
      </c>
      <c r="W2631" s="5">
        <v>43013</v>
      </c>
      <c r="X2631" s="1">
        <v>1895000</v>
      </c>
      <c r="Y2631" s="1">
        <v>1895000</v>
      </c>
      <c r="Z2631" s="5">
        <v>43013</v>
      </c>
      <c r="AA2631" s="1">
        <v>1868256</v>
      </c>
      <c r="AB2631" s="1" t="s">
        <v>2019</v>
      </c>
      <c r="AC2631" s="5">
        <v>43306</v>
      </c>
      <c r="AF2631" s="1">
        <v>10002</v>
      </c>
      <c r="AI2631" s="1" t="s">
        <v>45</v>
      </c>
      <c r="AJ2631" s="1">
        <v>2018</v>
      </c>
      <c r="AK2631" s="1" t="s">
        <v>50</v>
      </c>
      <c r="AL2631" s="1">
        <v>55</v>
      </c>
    </row>
    <row r="2632" spans="1:38" x14ac:dyDescent="0.2">
      <c r="A2632" s="2" t="str">
        <f>HYPERLINK("https://www.compass.com/listing/150-rivington-street-unit-phd-manhattan-ny-10002/29514915375047681/","150 Rivington St, Unit PHD")</f>
        <v>150 Rivington St, Unit PHD</v>
      </c>
      <c r="B2632" s="2" t="str">
        <f>HYPERLINK("https://www.compass.com/building/150-rivington-street-manhattan-ny/282058947895000453/","150 Rivington Street")</f>
        <v>150 Rivington Street</v>
      </c>
      <c r="C2632" s="1" t="s">
        <v>84</v>
      </c>
      <c r="D2632" s="1" t="s">
        <v>41</v>
      </c>
      <c r="E2632" s="3">
        <v>4342238</v>
      </c>
      <c r="F2632" s="1">
        <v>2713.8984375</v>
      </c>
      <c r="G2632" s="1">
        <v>5</v>
      </c>
      <c r="H2632" s="1">
        <v>3</v>
      </c>
      <c r="I2632" s="1">
        <v>3</v>
      </c>
      <c r="J2632" s="1">
        <v>2.5</v>
      </c>
      <c r="K2632" s="1">
        <v>2</v>
      </c>
      <c r="L2632" s="1">
        <v>1</v>
      </c>
      <c r="M2632" s="4">
        <v>1600</v>
      </c>
      <c r="N2632" s="1">
        <v>2829</v>
      </c>
      <c r="O2632" s="1">
        <v>5769</v>
      </c>
      <c r="P2632" s="1">
        <v>2940</v>
      </c>
      <c r="Q2632" s="1" t="s">
        <v>42</v>
      </c>
      <c r="S2632" s="1" t="s">
        <v>42</v>
      </c>
      <c r="T2632" s="1" t="s">
        <v>203</v>
      </c>
      <c r="U2632" s="1">
        <v>159</v>
      </c>
      <c r="V2632" s="5">
        <v>43678</v>
      </c>
      <c r="W2632" s="5">
        <v>43013</v>
      </c>
      <c r="X2632" s="1">
        <v>4375000</v>
      </c>
      <c r="Y2632" s="1">
        <v>4375000</v>
      </c>
      <c r="Z2632" s="5">
        <v>43173</v>
      </c>
      <c r="AA2632" s="1">
        <v>4342237.5</v>
      </c>
      <c r="AB2632" s="1" t="s">
        <v>308</v>
      </c>
      <c r="AC2632" s="5">
        <v>43678</v>
      </c>
      <c r="AF2632" s="1">
        <v>10002</v>
      </c>
      <c r="AI2632" s="1" t="s">
        <v>1934</v>
      </c>
      <c r="AJ2632" s="1">
        <v>2019</v>
      </c>
      <c r="AK2632" s="1" t="s">
        <v>87</v>
      </c>
      <c r="AL2632" s="1">
        <v>45</v>
      </c>
    </row>
    <row r="2633" spans="1:38" x14ac:dyDescent="0.2">
      <c r="A2633" s="2" t="str">
        <f>HYPERLINK("https://www.compass.com/listing/25-park-row-unit-17a-manhattan-ny-10038/223044028902447809/","25 Park Row, Unit 17A")</f>
        <v>25 Park Row, Unit 17A</v>
      </c>
      <c r="B2633" s="2" t="str">
        <f t="shared" ref="B2633:B2635" si="423">HYPERLINK("https://www.compass.com/building/25-park-row-manhattan-ny-10038/292920743539264837/","25 Park Row")</f>
        <v>25 Park Row</v>
      </c>
      <c r="C2633" s="1" t="s">
        <v>155</v>
      </c>
      <c r="D2633" s="1" t="s">
        <v>41</v>
      </c>
      <c r="E2633" s="3">
        <v>3500000</v>
      </c>
      <c r="F2633" s="1">
        <v>2246.4698331193799</v>
      </c>
      <c r="G2633" s="1">
        <v>4.5</v>
      </c>
      <c r="H2633" s="1">
        <v>2</v>
      </c>
      <c r="I2633" s="1">
        <v>3</v>
      </c>
      <c r="J2633" s="1">
        <v>2.5</v>
      </c>
      <c r="K2633" s="1">
        <v>2</v>
      </c>
      <c r="L2633" s="1">
        <v>1</v>
      </c>
      <c r="M2633" s="4">
        <v>1558</v>
      </c>
      <c r="N2633" s="1">
        <v>2256.48</v>
      </c>
      <c r="O2633" s="1">
        <v>4513.26</v>
      </c>
      <c r="P2633" s="1">
        <v>2256.75</v>
      </c>
      <c r="Q2633" s="1" t="s">
        <v>42</v>
      </c>
      <c r="S2633" s="1" t="s">
        <v>42</v>
      </c>
      <c r="T2633" s="1" t="s">
        <v>203</v>
      </c>
      <c r="U2633" s="1">
        <v>60</v>
      </c>
      <c r="V2633" s="5">
        <v>44076</v>
      </c>
      <c r="W2633" s="5">
        <v>43559</v>
      </c>
      <c r="X2633" s="1">
        <v>3550000</v>
      </c>
      <c r="AB2633" s="1" t="s">
        <v>204</v>
      </c>
      <c r="AF2633" s="1">
        <v>10038</v>
      </c>
      <c r="AI2633" s="1" t="s">
        <v>148</v>
      </c>
      <c r="AJ2633" s="1">
        <v>2019</v>
      </c>
      <c r="AK2633" s="1" t="s">
        <v>87</v>
      </c>
      <c r="AL2633" s="1">
        <v>110</v>
      </c>
    </row>
    <row r="2634" spans="1:38" x14ac:dyDescent="0.2">
      <c r="A2634" s="2" t="str">
        <f>HYPERLINK("https://www.compass.com/listing/25-park-row-unit-35a-manhattan-ny-10038/354193255370994945/","25 Park Row, Unit 35A")</f>
        <v>25 Park Row, Unit 35A</v>
      </c>
      <c r="B2634" s="2" t="str">
        <f t="shared" si="423"/>
        <v>25 Park Row</v>
      </c>
      <c r="C2634" s="1" t="s">
        <v>155</v>
      </c>
      <c r="D2634" s="1" t="s">
        <v>41</v>
      </c>
      <c r="E2634" s="3">
        <v>3650000</v>
      </c>
      <c r="F2634" s="1">
        <v>2260.0619195046402</v>
      </c>
      <c r="G2634" s="1">
        <v>4.5</v>
      </c>
      <c r="H2634" s="1">
        <v>2</v>
      </c>
      <c r="I2634" s="1">
        <v>3</v>
      </c>
      <c r="J2634" s="1">
        <v>2.5</v>
      </c>
      <c r="K2634" s="1">
        <v>2</v>
      </c>
      <c r="L2634" s="1">
        <v>1</v>
      </c>
      <c r="M2634" s="4">
        <v>1615</v>
      </c>
      <c r="N2634" s="1">
        <v>2295.66</v>
      </c>
      <c r="O2634" s="1">
        <v>4591.6299999999901</v>
      </c>
      <c r="P2634" s="1">
        <v>2296</v>
      </c>
      <c r="Q2634" s="1" t="s">
        <v>42</v>
      </c>
      <c r="S2634" s="1" t="s">
        <v>42</v>
      </c>
      <c r="T2634" s="1" t="s">
        <v>203</v>
      </c>
      <c r="U2634" s="1">
        <v>170</v>
      </c>
      <c r="V2634" s="5">
        <v>44145</v>
      </c>
      <c r="W2634" s="5">
        <v>43740</v>
      </c>
      <c r="X2634" s="1">
        <v>3855000</v>
      </c>
      <c r="Y2634" s="1">
        <v>3855000</v>
      </c>
      <c r="Z2634" s="5">
        <v>43998</v>
      </c>
      <c r="AA2634" s="1">
        <v>3650000</v>
      </c>
      <c r="AB2634" s="1" t="s">
        <v>2020</v>
      </c>
      <c r="AC2634" s="5">
        <v>44139</v>
      </c>
      <c r="AF2634" s="1">
        <v>10038</v>
      </c>
      <c r="AI2634" s="1" t="s">
        <v>93</v>
      </c>
      <c r="AJ2634" s="1">
        <v>2019</v>
      </c>
      <c r="AK2634" s="1" t="s">
        <v>87</v>
      </c>
      <c r="AL2634" s="1">
        <v>110</v>
      </c>
    </row>
    <row r="2635" spans="1:38" x14ac:dyDescent="0.2">
      <c r="A2635" s="2" t="str">
        <f>HYPERLINK("https://www.compass.com/listing/25-park-row-unit-30a-manhattan-ny-10038/385425631639876257/","25 Park Row, Unit 30A")</f>
        <v>25 Park Row, Unit 30A</v>
      </c>
      <c r="B2635" s="2" t="str">
        <f t="shared" si="423"/>
        <v>25 Park Row</v>
      </c>
      <c r="C2635" s="1" t="s">
        <v>155</v>
      </c>
      <c r="D2635" s="1" t="s">
        <v>41</v>
      </c>
      <c r="E2635" s="3">
        <v>4260000</v>
      </c>
      <c r="F2635" s="1">
        <v>2356.1946902654799</v>
      </c>
      <c r="G2635" s="1">
        <v>5</v>
      </c>
      <c r="H2635" s="1">
        <v>3</v>
      </c>
      <c r="I2635" s="1">
        <v>3</v>
      </c>
      <c r="J2635" s="1">
        <v>3</v>
      </c>
      <c r="K2635" s="1">
        <v>3</v>
      </c>
      <c r="M2635" s="4">
        <v>1808</v>
      </c>
      <c r="N2635" s="1">
        <v>2485.36</v>
      </c>
      <c r="O2635" s="1">
        <v>4971.0599999999904</v>
      </c>
      <c r="P2635" s="1">
        <v>2485.6666666666601</v>
      </c>
      <c r="Q2635" s="1" t="s">
        <v>42</v>
      </c>
      <c r="S2635" s="1" t="s">
        <v>42</v>
      </c>
      <c r="T2635" s="1" t="s">
        <v>203</v>
      </c>
      <c r="U2635" s="1">
        <v>76</v>
      </c>
      <c r="V2635" s="5">
        <v>44065</v>
      </c>
      <c r="W2635" s="5">
        <v>43783</v>
      </c>
      <c r="X2635" s="1">
        <v>4295000</v>
      </c>
      <c r="Y2635" s="1">
        <v>4295000</v>
      </c>
      <c r="AA2635" s="1">
        <v>4260000</v>
      </c>
      <c r="AB2635" s="1" t="s">
        <v>2021</v>
      </c>
      <c r="AC2635" s="5">
        <v>44064</v>
      </c>
      <c r="AF2635" s="1">
        <v>10038</v>
      </c>
      <c r="AI2635" s="1" t="s">
        <v>93</v>
      </c>
      <c r="AJ2635" s="1">
        <v>2019</v>
      </c>
      <c r="AK2635" s="1" t="s">
        <v>87</v>
      </c>
      <c r="AL2635" s="1">
        <v>110</v>
      </c>
    </row>
    <row r="2636" spans="1:38" x14ac:dyDescent="0.2">
      <c r="A2636" s="2" t="str">
        <f>HYPERLINK("https://www.compass.com/listing/242-broome-street-unit-14d-manhattan-ny-10002/161570988968955441/","242 Broome St, Unit 14D")</f>
        <v>242 Broome St, Unit 14D</v>
      </c>
      <c r="B2636" s="2" t="str">
        <f t="shared" ref="B2636:B2638" si="424">HYPERLINK("https://www.compass.com/building/242-broome-essex-crossing-manhattan-ny/292776610392708181/","242 Broome, Essex Crossing")</f>
        <v>242 Broome, Essex Crossing</v>
      </c>
      <c r="C2636" s="1" t="s">
        <v>84</v>
      </c>
      <c r="D2636" s="1" t="s">
        <v>41</v>
      </c>
      <c r="E2636" s="3">
        <v>1665000</v>
      </c>
      <c r="F2636" s="1">
        <v>2182.1756225425902</v>
      </c>
      <c r="G2636" s="1">
        <v>3</v>
      </c>
      <c r="H2636" s="1">
        <v>1</v>
      </c>
      <c r="I2636" s="1">
        <v>1</v>
      </c>
      <c r="J2636" s="1">
        <v>1</v>
      </c>
      <c r="K2636" s="1">
        <v>1</v>
      </c>
      <c r="M2636" s="1">
        <v>763</v>
      </c>
      <c r="N2636" s="1">
        <v>1521</v>
      </c>
      <c r="O2636" s="1">
        <v>1972</v>
      </c>
      <c r="P2636" s="1">
        <v>451</v>
      </c>
      <c r="Q2636" s="1" t="s">
        <v>42</v>
      </c>
      <c r="S2636" s="1" t="s">
        <v>42</v>
      </c>
      <c r="T2636" s="1" t="s">
        <v>203</v>
      </c>
      <c r="U2636" s="1">
        <v>999</v>
      </c>
      <c r="V2636" s="5">
        <v>44427</v>
      </c>
      <c r="W2636" s="5">
        <v>42579</v>
      </c>
      <c r="X2636" s="1">
        <v>1695000</v>
      </c>
      <c r="Y2636" s="1">
        <v>1695000</v>
      </c>
      <c r="Z2636" s="5">
        <v>43579</v>
      </c>
      <c r="AA2636" s="1">
        <v>1665000</v>
      </c>
      <c r="AB2636" s="1" t="s">
        <v>2022</v>
      </c>
      <c r="AC2636" s="5">
        <v>43609</v>
      </c>
      <c r="AF2636" s="1">
        <v>10002</v>
      </c>
      <c r="AI2636" s="1" t="s">
        <v>45</v>
      </c>
      <c r="AJ2636" s="1">
        <v>2018</v>
      </c>
      <c r="AK2636" s="1" t="s">
        <v>50</v>
      </c>
      <c r="AL2636" s="1">
        <v>55</v>
      </c>
    </row>
    <row r="2637" spans="1:38" x14ac:dyDescent="0.2">
      <c r="A2637" s="2" t="str">
        <f>HYPERLINK("https://www.compass.com/listing/242-broome-street-unit-8a-manhattan-ny-10002/29514977828195809/","242 Broome St, Unit 8A")</f>
        <v>242 Broome St, Unit 8A</v>
      </c>
      <c r="B2637" s="2" t="str">
        <f t="shared" si="424"/>
        <v>242 Broome, Essex Crossing</v>
      </c>
      <c r="C2637" s="1" t="s">
        <v>84</v>
      </c>
      <c r="D2637" s="1" t="s">
        <v>41</v>
      </c>
      <c r="E2637" s="3">
        <v>1555581</v>
      </c>
      <c r="F2637" s="1">
        <v>1555.5809999999999</v>
      </c>
      <c r="G2637" s="1">
        <v>3</v>
      </c>
      <c r="H2637" s="1">
        <v>1</v>
      </c>
      <c r="I2637" s="1">
        <v>1</v>
      </c>
      <c r="J2637" s="1">
        <v>1</v>
      </c>
      <c r="K2637" s="1">
        <v>1</v>
      </c>
      <c r="M2637" s="4">
        <v>1000</v>
      </c>
      <c r="N2637" s="1">
        <v>1913</v>
      </c>
      <c r="O2637" s="1">
        <v>2481</v>
      </c>
      <c r="P2637" s="1">
        <v>568</v>
      </c>
      <c r="Q2637" s="1" t="s">
        <v>42</v>
      </c>
      <c r="S2637" s="1" t="s">
        <v>42</v>
      </c>
      <c r="T2637" s="1" t="s">
        <v>203</v>
      </c>
      <c r="U2637" s="1">
        <v>42</v>
      </c>
      <c r="V2637" s="5">
        <v>43692</v>
      </c>
      <c r="W2637" s="5">
        <v>42641</v>
      </c>
      <c r="X2637" s="1">
        <v>1525000</v>
      </c>
      <c r="Y2637" s="1">
        <v>1525000</v>
      </c>
      <c r="Z2637" s="5">
        <v>42683</v>
      </c>
      <c r="AA2637" s="1">
        <v>1555581</v>
      </c>
      <c r="AB2637" s="1" t="s">
        <v>2023</v>
      </c>
      <c r="AC2637" s="5">
        <v>43294</v>
      </c>
      <c r="AF2637" s="1">
        <v>10002</v>
      </c>
      <c r="AI2637" s="1" t="s">
        <v>45</v>
      </c>
      <c r="AJ2637" s="1">
        <v>2018</v>
      </c>
      <c r="AK2637" s="1" t="s">
        <v>50</v>
      </c>
      <c r="AL2637" s="1">
        <v>55</v>
      </c>
    </row>
    <row r="2638" spans="1:38" x14ac:dyDescent="0.2">
      <c r="A2638" s="2" t="str">
        <f>HYPERLINK("https://www.compass.com/listing/242-broome-street-unit-11d-manhattan-ny-10002/29669376634402801/","242 Broome St, Unit 11D")</f>
        <v>242 Broome St, Unit 11D</v>
      </c>
      <c r="B2638" s="2" t="str">
        <f t="shared" si="424"/>
        <v>242 Broome, Essex Crossing</v>
      </c>
      <c r="C2638" s="1" t="s">
        <v>84</v>
      </c>
      <c r="D2638" s="1" t="s">
        <v>41</v>
      </c>
      <c r="E2638" s="3">
        <v>1525000</v>
      </c>
      <c r="F2638" s="1">
        <v>1993.46405228758</v>
      </c>
      <c r="G2638" s="1">
        <v>3</v>
      </c>
      <c r="H2638" s="1">
        <v>1</v>
      </c>
      <c r="I2638" s="1">
        <v>1</v>
      </c>
      <c r="J2638" s="1">
        <v>1</v>
      </c>
      <c r="K2638" s="1">
        <v>1</v>
      </c>
      <c r="M2638" s="1">
        <v>765</v>
      </c>
      <c r="N2638" s="1">
        <v>1511</v>
      </c>
      <c r="O2638" s="1">
        <v>1959</v>
      </c>
      <c r="P2638" s="1">
        <v>448</v>
      </c>
      <c r="Q2638" s="1" t="s">
        <v>42</v>
      </c>
      <c r="S2638" s="1" t="s">
        <v>42</v>
      </c>
      <c r="T2638" s="1" t="s">
        <v>203</v>
      </c>
      <c r="U2638" s="1">
        <v>235</v>
      </c>
      <c r="V2638" s="5">
        <v>44427</v>
      </c>
      <c r="W2638" s="5">
        <v>43239</v>
      </c>
      <c r="X2638" s="1">
        <v>1685000</v>
      </c>
      <c r="Y2638" s="1">
        <v>1595000</v>
      </c>
      <c r="Z2638" s="5">
        <v>43474</v>
      </c>
      <c r="AA2638" s="1">
        <v>1525000</v>
      </c>
      <c r="AB2638" s="1" t="s">
        <v>2024</v>
      </c>
      <c r="AC2638" s="5">
        <v>43516</v>
      </c>
      <c r="AF2638" s="1">
        <v>10002</v>
      </c>
      <c r="AI2638" s="1" t="s">
        <v>45</v>
      </c>
      <c r="AJ2638" s="1">
        <v>2018</v>
      </c>
      <c r="AK2638" s="1" t="s">
        <v>50</v>
      </c>
      <c r="AL2638" s="1">
        <v>55</v>
      </c>
    </row>
    <row r="2639" spans="1:38" x14ac:dyDescent="0.2">
      <c r="A2639" s="2" t="str">
        <f>HYPERLINK("https://www.compass.com/listing/25-park-row-unit-12b-manhattan-ny-10038/354172839619428257/","25 Park Row, Unit 12B")</f>
        <v>25 Park Row, Unit 12B</v>
      </c>
      <c r="B2639" s="2" t="str">
        <f>HYPERLINK("https://www.compass.com/building/25-park-row-manhattan-ny-10038/292920743539264837/","25 Park Row")</f>
        <v>25 Park Row</v>
      </c>
      <c r="C2639" s="1" t="s">
        <v>155</v>
      </c>
      <c r="D2639" s="1" t="s">
        <v>41</v>
      </c>
      <c r="E2639" s="3">
        <v>1850000</v>
      </c>
      <c r="F2639" s="1">
        <v>1848.1518481518401</v>
      </c>
      <c r="G2639" s="1">
        <v>3</v>
      </c>
      <c r="H2639" s="1">
        <v>1</v>
      </c>
      <c r="I2639" s="1">
        <v>1</v>
      </c>
      <c r="J2639" s="1">
        <v>1</v>
      </c>
      <c r="K2639" s="1">
        <v>1</v>
      </c>
      <c r="M2639" s="4">
        <v>1001</v>
      </c>
      <c r="N2639" s="1">
        <v>1239.04</v>
      </c>
      <c r="O2639" s="1">
        <v>2478.25</v>
      </c>
      <c r="P2639" s="1">
        <v>1239.25</v>
      </c>
      <c r="Q2639" s="1" t="s">
        <v>42</v>
      </c>
      <c r="S2639" s="1" t="s">
        <v>42</v>
      </c>
      <c r="T2639" s="1" t="s">
        <v>203</v>
      </c>
      <c r="U2639" s="1">
        <v>60</v>
      </c>
      <c r="V2639" s="5">
        <v>44201</v>
      </c>
      <c r="W2639" s="5">
        <v>44045</v>
      </c>
      <c r="Y2639" s="1">
        <v>1980000</v>
      </c>
      <c r="AA2639" s="1">
        <v>1850000</v>
      </c>
      <c r="AB2639" s="1" t="s">
        <v>2025</v>
      </c>
      <c r="AC2639" s="5">
        <v>44195</v>
      </c>
      <c r="AF2639" s="1">
        <v>10038</v>
      </c>
      <c r="AI2639" s="1" t="s">
        <v>2026</v>
      </c>
      <c r="AJ2639" s="1">
        <v>2019</v>
      </c>
      <c r="AK2639" s="1" t="s">
        <v>87</v>
      </c>
      <c r="AL2639" s="1">
        <v>110</v>
      </c>
    </row>
    <row r="2640" spans="1:38" x14ac:dyDescent="0.2">
      <c r="A2640" s="2" t="str">
        <f>HYPERLINK("https://www.compass.com/listing/242-broome-street-unit-7c-manhattan-ny-10002/29669387388598929/","242 Broome St, Unit 7C")</f>
        <v>242 Broome St, Unit 7C</v>
      </c>
      <c r="B2640" s="2" t="str">
        <f>HYPERLINK("https://www.compass.com/building/242-broome-essex-crossing-manhattan-ny/292776610392708181/","242 Broome, Essex Crossing")</f>
        <v>242 Broome, Essex Crossing</v>
      </c>
      <c r="C2640" s="1" t="s">
        <v>84</v>
      </c>
      <c r="D2640" s="1" t="s">
        <v>41</v>
      </c>
      <c r="E2640" s="3">
        <v>2400000</v>
      </c>
      <c r="F2640" s="1">
        <v>1744.1860465116199</v>
      </c>
      <c r="G2640" s="1">
        <v>5</v>
      </c>
      <c r="H2640" s="1">
        <v>2</v>
      </c>
      <c r="I2640" s="1">
        <v>3</v>
      </c>
      <c r="J2640" s="1">
        <v>2.5</v>
      </c>
      <c r="K2640" s="1">
        <v>2</v>
      </c>
      <c r="L2640" s="1">
        <v>1</v>
      </c>
      <c r="M2640" s="4">
        <v>1376</v>
      </c>
      <c r="N2640" s="1">
        <v>2665</v>
      </c>
      <c r="O2640" s="1">
        <v>3456</v>
      </c>
      <c r="P2640" s="1">
        <v>791</v>
      </c>
      <c r="Q2640" s="1" t="s">
        <v>42</v>
      </c>
      <c r="S2640" s="1" t="s">
        <v>42</v>
      </c>
      <c r="T2640" s="1" t="s">
        <v>203</v>
      </c>
      <c r="U2640" s="1">
        <v>188</v>
      </c>
      <c r="V2640" s="5">
        <v>44427</v>
      </c>
      <c r="W2640" s="5">
        <v>43250</v>
      </c>
      <c r="X2640" s="1">
        <v>2725000</v>
      </c>
      <c r="Y2640" s="1">
        <v>2500000</v>
      </c>
      <c r="Z2640" s="5">
        <v>43438</v>
      </c>
      <c r="AA2640" s="1">
        <v>2400000</v>
      </c>
      <c r="AB2640" s="1" t="s">
        <v>2027</v>
      </c>
      <c r="AC2640" s="5">
        <v>43454</v>
      </c>
      <c r="AF2640" s="1">
        <v>10002</v>
      </c>
      <c r="AI2640" s="1" t="s">
        <v>45</v>
      </c>
      <c r="AJ2640" s="1">
        <v>2018</v>
      </c>
      <c r="AK2640" s="1" t="s">
        <v>50</v>
      </c>
      <c r="AL2640" s="1">
        <v>55</v>
      </c>
    </row>
    <row r="2641" spans="1:38" x14ac:dyDescent="0.2">
      <c r="A2641" s="2" t="str">
        <f>HYPERLINK("https://www.compass.com/listing/25-park-row-unit-5e-manhattan-ny-10038/243338152582912385/","25 Park Row, Unit 5E")</f>
        <v>25 Park Row, Unit 5E</v>
      </c>
      <c r="B2641" s="2" t="str">
        <f>HYPERLINK("https://www.compass.com/building/25-park-row-manhattan-ny-10038/292920743539264837/","25 Park Row")</f>
        <v>25 Park Row</v>
      </c>
      <c r="C2641" s="1" t="s">
        <v>155</v>
      </c>
      <c r="D2641" s="1" t="s">
        <v>41</v>
      </c>
      <c r="E2641" s="3">
        <v>3750000</v>
      </c>
      <c r="F2641" s="1">
        <v>2012.88244766505</v>
      </c>
      <c r="G2641" s="1">
        <v>5</v>
      </c>
      <c r="H2641" s="1">
        <v>3</v>
      </c>
      <c r="I2641" s="1">
        <v>3</v>
      </c>
      <c r="J2641" s="1">
        <v>3</v>
      </c>
      <c r="K2641" s="1">
        <v>3</v>
      </c>
      <c r="M2641" s="4">
        <v>1863</v>
      </c>
      <c r="N2641" s="1">
        <v>2375.4499999999998</v>
      </c>
      <c r="O2641" s="1">
        <v>4751.21</v>
      </c>
      <c r="P2641" s="1">
        <v>2375.75</v>
      </c>
      <c r="Q2641" s="1" t="s">
        <v>42</v>
      </c>
      <c r="S2641" s="1" t="s">
        <v>42</v>
      </c>
      <c r="T2641" s="1" t="s">
        <v>203</v>
      </c>
      <c r="U2641" s="1">
        <v>153</v>
      </c>
      <c r="V2641" s="5">
        <v>44166</v>
      </c>
      <c r="W2641" s="5">
        <v>43587</v>
      </c>
      <c r="X2641" s="1">
        <v>3750000</v>
      </c>
      <c r="AB2641" s="1" t="s">
        <v>204</v>
      </c>
      <c r="AF2641" s="1">
        <v>10038</v>
      </c>
      <c r="AI2641" s="1" t="s">
        <v>186</v>
      </c>
      <c r="AJ2641" s="1">
        <v>2019</v>
      </c>
      <c r="AK2641" s="1" t="s">
        <v>87</v>
      </c>
      <c r="AL2641" s="1">
        <v>110</v>
      </c>
    </row>
    <row r="2642" spans="1:38" x14ac:dyDescent="0.2">
      <c r="A2642" s="2" t="str">
        <f>HYPERLINK("https://www.compass.com/listing/242-broome-street-unit-14b-manhattan-ny-10002/279014210212463217/","242 Broome St, Unit 14B")</f>
        <v>242 Broome St, Unit 14B</v>
      </c>
      <c r="B2642" s="2" t="str">
        <f>HYPERLINK("https://www.compass.com/building/242-broome-essex-crossing-manhattan-ny/292776610392708181/","242 Broome, Essex Crossing")</f>
        <v>242 Broome, Essex Crossing</v>
      </c>
      <c r="C2642" s="1" t="s">
        <v>84</v>
      </c>
      <c r="D2642" s="1" t="s">
        <v>41</v>
      </c>
      <c r="E2642" s="3">
        <v>3955000</v>
      </c>
      <c r="F2642" s="1">
        <v>1966.6832421680699</v>
      </c>
      <c r="G2642" s="1">
        <v>7</v>
      </c>
      <c r="H2642" s="1">
        <v>3</v>
      </c>
      <c r="I2642" s="1">
        <v>4</v>
      </c>
      <c r="J2642" s="1">
        <v>3.5</v>
      </c>
      <c r="K2642" s="1">
        <v>3</v>
      </c>
      <c r="L2642" s="1">
        <v>1</v>
      </c>
      <c r="M2642" s="4">
        <v>2011</v>
      </c>
      <c r="N2642" s="1">
        <v>4010</v>
      </c>
      <c r="O2642" s="1">
        <v>5200</v>
      </c>
      <c r="P2642" s="1">
        <v>1190</v>
      </c>
      <c r="Q2642" s="1" t="s">
        <v>42</v>
      </c>
      <c r="S2642" s="1" t="s">
        <v>42</v>
      </c>
      <c r="T2642" s="1" t="s">
        <v>203</v>
      </c>
      <c r="U2642" s="1">
        <v>228</v>
      </c>
      <c r="V2642" s="5">
        <v>44427</v>
      </c>
      <c r="W2642" s="5">
        <v>43637</v>
      </c>
      <c r="AA2642" s="1">
        <v>3955000</v>
      </c>
      <c r="AB2642" s="1" t="s">
        <v>2028</v>
      </c>
      <c r="AC2642" s="5">
        <v>43865</v>
      </c>
      <c r="AF2642" s="1">
        <v>10002</v>
      </c>
      <c r="AI2642" s="1" t="s">
        <v>45</v>
      </c>
      <c r="AJ2642" s="1">
        <v>2018</v>
      </c>
      <c r="AK2642" s="1" t="s">
        <v>81</v>
      </c>
      <c r="AL2642" s="1">
        <v>55</v>
      </c>
    </row>
    <row r="2643" spans="1:38" x14ac:dyDescent="0.2">
      <c r="A2643" s="2" t="str">
        <f>HYPERLINK("https://www.compass.com/listing/287-east-houston-street-unit-phb-manhattan-ny-10002/29514945246813697/","287 E Houston St, Unit PHB")</f>
        <v>287 E Houston St, Unit PHB</v>
      </c>
      <c r="B2643" s="2" t="str">
        <f>HYPERLINK("https://www.compass.com/building/287-les-manhattan-ny/281886930822496357/","287/LES")</f>
        <v>287/LES</v>
      </c>
      <c r="C2643" s="1" t="s">
        <v>84</v>
      </c>
      <c r="D2643" s="1" t="s">
        <v>41</v>
      </c>
      <c r="E2643" s="3">
        <v>4148365</v>
      </c>
      <c r="F2643" s="1">
        <v>2117.5931597753902</v>
      </c>
      <c r="G2643" s="1">
        <v>5</v>
      </c>
      <c r="H2643" s="1">
        <v>3</v>
      </c>
      <c r="I2643" s="1">
        <v>3</v>
      </c>
      <c r="J2643" s="1">
        <v>2.5</v>
      </c>
      <c r="K2643" s="1">
        <v>2</v>
      </c>
      <c r="L2643" s="1">
        <v>1</v>
      </c>
      <c r="M2643" s="4">
        <v>1959</v>
      </c>
      <c r="N2643" s="1">
        <v>2218</v>
      </c>
      <c r="O2643" s="1">
        <v>5341</v>
      </c>
      <c r="P2643" s="1">
        <v>3123</v>
      </c>
      <c r="Q2643" s="1" t="s">
        <v>42</v>
      </c>
      <c r="S2643" s="1" t="s">
        <v>42</v>
      </c>
      <c r="T2643" s="1" t="s">
        <v>203</v>
      </c>
      <c r="U2643" s="1">
        <v>564</v>
      </c>
      <c r="V2643" s="5">
        <v>44260</v>
      </c>
      <c r="W2643" s="5">
        <v>43543</v>
      </c>
      <c r="Y2643" s="1">
        <v>4995000</v>
      </c>
      <c r="Z2643" s="5">
        <v>44202</v>
      </c>
      <c r="AA2643" s="1">
        <v>4148365</v>
      </c>
      <c r="AB2643" s="1" t="s">
        <v>2029</v>
      </c>
      <c r="AC2643" s="5">
        <v>44252</v>
      </c>
      <c r="AF2643" s="1">
        <v>10002</v>
      </c>
      <c r="AI2643" s="1" t="s">
        <v>2030</v>
      </c>
      <c r="AJ2643" s="1">
        <v>2018</v>
      </c>
      <c r="AK2643" s="1" t="s">
        <v>178</v>
      </c>
      <c r="AL2643" s="1">
        <v>27</v>
      </c>
    </row>
    <row r="2644" spans="1:38" x14ac:dyDescent="0.2">
      <c r="A2644" s="2" t="str">
        <f>HYPERLINK("https://www.compass.com/listing/242-broome-street-unit-pha-manhattan-ny-10002/29514979933736481/","242 Broome St, Unit PHA")</f>
        <v>242 Broome St, Unit PHA</v>
      </c>
      <c r="B2644" s="2" t="str">
        <f>HYPERLINK("https://www.compass.com/building/242-broome-essex-crossing-manhattan-ny/292776610392708181/","242 Broome, Essex Crossing")</f>
        <v>242 Broome, Essex Crossing</v>
      </c>
      <c r="C2644" s="1" t="s">
        <v>84</v>
      </c>
      <c r="D2644" s="1" t="s">
        <v>41</v>
      </c>
      <c r="E2644" s="3">
        <v>5150000</v>
      </c>
      <c r="F2644" s="1">
        <v>2439.60208432022</v>
      </c>
      <c r="G2644" s="1">
        <v>5</v>
      </c>
      <c r="H2644" s="1">
        <v>2</v>
      </c>
      <c r="I2644" s="1">
        <v>3</v>
      </c>
      <c r="J2644" s="1">
        <v>2.5</v>
      </c>
      <c r="K2644" s="1">
        <v>2</v>
      </c>
      <c r="L2644" s="1">
        <v>1</v>
      </c>
      <c r="M2644" s="4">
        <v>2111</v>
      </c>
      <c r="N2644" s="1">
        <v>4529</v>
      </c>
      <c r="O2644" s="1">
        <v>5873</v>
      </c>
      <c r="P2644" s="1">
        <v>1344</v>
      </c>
      <c r="Q2644" s="1" t="s">
        <v>42</v>
      </c>
      <c r="S2644" s="1" t="s">
        <v>42</v>
      </c>
      <c r="T2644" s="1" t="s">
        <v>203</v>
      </c>
      <c r="U2644" s="1">
        <v>194</v>
      </c>
      <c r="V2644" s="5">
        <v>44314</v>
      </c>
      <c r="W2644" s="5">
        <v>42651</v>
      </c>
      <c r="X2644" s="1">
        <v>5250000</v>
      </c>
      <c r="Y2644" s="1">
        <v>5250000</v>
      </c>
      <c r="Z2644" s="5">
        <v>42845</v>
      </c>
      <c r="AA2644" s="1">
        <v>5150000</v>
      </c>
      <c r="AB2644" s="1" t="s">
        <v>2031</v>
      </c>
      <c r="AC2644" s="5">
        <v>43376</v>
      </c>
      <c r="AF2644" s="1">
        <v>10002</v>
      </c>
      <c r="AI2644" s="1" t="s">
        <v>115</v>
      </c>
      <c r="AJ2644" s="1">
        <v>2018</v>
      </c>
      <c r="AK2644" s="1" t="s">
        <v>50</v>
      </c>
      <c r="AL2644" s="1">
        <v>55</v>
      </c>
    </row>
    <row r="2645" spans="1:38" x14ac:dyDescent="0.2">
      <c r="A2645" s="2" t="str">
        <f>HYPERLINK("https://www.compass.com/listing/25-park-row-unit-14b-manhattan-ny-10038/440512060460618081/","25 Park Row, Unit 14B")</f>
        <v>25 Park Row, Unit 14B</v>
      </c>
      <c r="B2645" s="2" t="str">
        <f t="shared" ref="B2645:B2666" si="425">HYPERLINK("https://www.compass.com/building/25-park-row-manhattan-ny-10038/292920743539264837/","25 Park Row")</f>
        <v>25 Park Row</v>
      </c>
      <c r="C2645" s="1" t="s">
        <v>155</v>
      </c>
      <c r="D2645" s="1" t="s">
        <v>41</v>
      </c>
      <c r="E2645" s="3">
        <v>1975000</v>
      </c>
      <c r="F2645" s="1">
        <v>1973.0269730269699</v>
      </c>
      <c r="G2645" s="1">
        <v>3</v>
      </c>
      <c r="H2645" s="1">
        <v>1</v>
      </c>
      <c r="I2645" s="1">
        <v>2</v>
      </c>
      <c r="J2645" s="1">
        <v>1.5</v>
      </c>
      <c r="K2645" s="1">
        <v>1</v>
      </c>
      <c r="L2645" s="1">
        <v>1</v>
      </c>
      <c r="M2645" s="4">
        <v>1001</v>
      </c>
      <c r="N2645" s="1">
        <v>1245.03</v>
      </c>
      <c r="O2645" s="1">
        <v>2490.2199999999998</v>
      </c>
      <c r="P2645" s="1">
        <v>1245.1666666666599</v>
      </c>
      <c r="Q2645" s="1" t="s">
        <v>42</v>
      </c>
      <c r="S2645" s="1" t="s">
        <v>42</v>
      </c>
      <c r="T2645" s="1" t="s">
        <v>203</v>
      </c>
      <c r="U2645" s="1">
        <v>152</v>
      </c>
      <c r="V2645" s="5">
        <v>44187</v>
      </c>
      <c r="W2645" s="5">
        <v>43859</v>
      </c>
      <c r="X2645" s="1">
        <v>2000000</v>
      </c>
      <c r="Y2645" s="1">
        <v>2000000</v>
      </c>
      <c r="AA2645" s="1">
        <v>1975000</v>
      </c>
      <c r="AB2645" s="1" t="s">
        <v>2032</v>
      </c>
      <c r="AC2645" s="5">
        <v>44186</v>
      </c>
      <c r="AF2645" s="1">
        <v>10038</v>
      </c>
      <c r="AI2645" s="1" t="s">
        <v>181</v>
      </c>
      <c r="AJ2645" s="1">
        <v>2019</v>
      </c>
      <c r="AK2645" s="1" t="s">
        <v>87</v>
      </c>
      <c r="AL2645" s="1">
        <v>110</v>
      </c>
    </row>
    <row r="2646" spans="1:38" x14ac:dyDescent="0.2">
      <c r="A2646" s="2" t="str">
        <f>HYPERLINK("https://www.compass.com/listing/25-park-row-unit-19a-manhattan-ny-10038/324479993723460657/","25 Park Row, Unit 19A")</f>
        <v>25 Park Row, Unit 19A</v>
      </c>
      <c r="B2646" s="2" t="str">
        <f t="shared" si="425"/>
        <v>25 Park Row</v>
      </c>
      <c r="C2646" s="1" t="s">
        <v>155</v>
      </c>
      <c r="D2646" s="1" t="s">
        <v>41</v>
      </c>
      <c r="E2646" s="3">
        <v>2775000</v>
      </c>
      <c r="F2646" s="1">
        <v>1781.1296534017899</v>
      </c>
      <c r="G2646" s="1">
        <v>4</v>
      </c>
      <c r="H2646" s="1">
        <v>2</v>
      </c>
      <c r="I2646" s="1">
        <v>3</v>
      </c>
      <c r="J2646" s="1">
        <v>2.5</v>
      </c>
      <c r="K2646" s="1">
        <v>2</v>
      </c>
      <c r="L2646" s="1">
        <v>1</v>
      </c>
      <c r="M2646" s="4">
        <v>1558</v>
      </c>
      <c r="N2646" s="1">
        <v>1984.4</v>
      </c>
      <c r="O2646" s="1">
        <v>3969.06</v>
      </c>
      <c r="P2646" s="1">
        <v>1984.6666666666599</v>
      </c>
      <c r="Q2646" s="1" t="s">
        <v>42</v>
      </c>
      <c r="S2646" s="1" t="s">
        <v>42</v>
      </c>
      <c r="T2646" s="1" t="s">
        <v>203</v>
      </c>
      <c r="U2646" s="1">
        <v>113</v>
      </c>
      <c r="V2646" s="5">
        <v>44315</v>
      </c>
      <c r="W2646" s="5">
        <v>44132</v>
      </c>
      <c r="Y2646" s="1">
        <v>2975000</v>
      </c>
      <c r="AA2646" s="1">
        <v>2775000</v>
      </c>
      <c r="AB2646" s="1" t="s">
        <v>2033</v>
      </c>
      <c r="AC2646" s="5">
        <v>44314</v>
      </c>
      <c r="AF2646" s="1">
        <v>10038</v>
      </c>
      <c r="AI2646" s="1" t="s">
        <v>181</v>
      </c>
      <c r="AJ2646" s="1">
        <v>2019</v>
      </c>
      <c r="AK2646" s="1" t="s">
        <v>87</v>
      </c>
      <c r="AL2646" s="1">
        <v>110</v>
      </c>
    </row>
    <row r="2647" spans="1:38" x14ac:dyDescent="0.2">
      <c r="A2647" s="2" t="str">
        <f>HYPERLINK("https://www.compass.com/listing/25-park-row-unit-16a-manhattan-ny-10038/266602881115793537/","25 Park Row, Unit 16A")</f>
        <v>25 Park Row, Unit 16A</v>
      </c>
      <c r="B2647" s="2" t="str">
        <f t="shared" si="425"/>
        <v>25 Park Row</v>
      </c>
      <c r="C2647" s="1" t="s">
        <v>155</v>
      </c>
      <c r="D2647" s="1" t="s">
        <v>41</v>
      </c>
      <c r="E2647" s="3">
        <v>2755000</v>
      </c>
      <c r="F2647" s="1">
        <v>1717.58104738154</v>
      </c>
      <c r="G2647" s="1">
        <v>4</v>
      </c>
      <c r="H2647" s="1">
        <v>2</v>
      </c>
      <c r="I2647" s="1">
        <v>3</v>
      </c>
      <c r="J2647" s="1">
        <v>2.5</v>
      </c>
      <c r="K2647" s="1">
        <v>2</v>
      </c>
      <c r="L2647" s="1">
        <v>1</v>
      </c>
      <c r="M2647" s="4">
        <v>1604</v>
      </c>
      <c r="N2647" s="1">
        <v>3018.92</v>
      </c>
      <c r="O2647" s="1">
        <v>5033.3999999999996</v>
      </c>
      <c r="P2647" s="1">
        <v>2014.5</v>
      </c>
      <c r="Q2647" s="1" t="s">
        <v>42</v>
      </c>
      <c r="S2647" s="1" t="s">
        <v>42</v>
      </c>
      <c r="T2647" s="1" t="s">
        <v>203</v>
      </c>
      <c r="U2647" s="1">
        <v>307</v>
      </c>
      <c r="V2647" s="5">
        <v>44426</v>
      </c>
      <c r="W2647" s="5">
        <v>44105</v>
      </c>
      <c r="Y2647" s="1">
        <v>2900000</v>
      </c>
      <c r="Z2647" s="5">
        <v>44413</v>
      </c>
      <c r="AA2647" s="1">
        <v>2755000</v>
      </c>
      <c r="AB2647" s="1" t="s">
        <v>204</v>
      </c>
      <c r="AC2647" s="5">
        <v>44425</v>
      </c>
      <c r="AF2647" s="1">
        <v>10038</v>
      </c>
      <c r="AI2647" s="1" t="s">
        <v>180</v>
      </c>
      <c r="AJ2647" s="1">
        <v>2019</v>
      </c>
      <c r="AK2647" s="1" t="s">
        <v>87</v>
      </c>
      <c r="AL2647" s="1">
        <v>110</v>
      </c>
    </row>
    <row r="2648" spans="1:38" x14ac:dyDescent="0.2">
      <c r="A2648" s="2" t="str">
        <f>HYPERLINK("https://www.compass.com/listing/25-park-row-unit-8a-manhattan-ny-10038/354153289599250177/","25 Park Row, Unit 8A")</f>
        <v>25 Park Row, Unit 8A</v>
      </c>
      <c r="B2648" s="2" t="str">
        <f t="shared" si="425"/>
        <v>25 Park Row</v>
      </c>
      <c r="C2648" s="1" t="s">
        <v>155</v>
      </c>
      <c r="D2648" s="1" t="s">
        <v>41</v>
      </c>
      <c r="E2648" s="3">
        <v>2550000</v>
      </c>
      <c r="F2648" s="1">
        <v>1659.0761223162001</v>
      </c>
      <c r="G2648" s="1">
        <v>4</v>
      </c>
      <c r="H2648" s="1">
        <v>2</v>
      </c>
      <c r="I2648" s="1">
        <v>3</v>
      </c>
      <c r="J2648" s="1">
        <v>2.5</v>
      </c>
      <c r="K2648" s="1">
        <v>2</v>
      </c>
      <c r="L2648" s="1">
        <v>1</v>
      </c>
      <c r="M2648" s="4">
        <v>1537</v>
      </c>
      <c r="N2648" s="1">
        <v>1865.74</v>
      </c>
      <c r="O2648" s="1">
        <v>3731.73</v>
      </c>
      <c r="P2648" s="1">
        <v>1866</v>
      </c>
      <c r="Q2648" s="1" t="s">
        <v>42</v>
      </c>
      <c r="S2648" s="1" t="s">
        <v>42</v>
      </c>
      <c r="T2648" s="1" t="s">
        <v>203</v>
      </c>
      <c r="U2648" s="1">
        <v>199</v>
      </c>
      <c r="V2648" s="5">
        <v>44293</v>
      </c>
      <c r="W2648" s="5">
        <v>43950</v>
      </c>
      <c r="Y2648" s="1">
        <v>2765000</v>
      </c>
      <c r="AA2648" s="1">
        <v>2550000</v>
      </c>
      <c r="AB2648" s="1" t="s">
        <v>2034</v>
      </c>
      <c r="AC2648" s="5">
        <v>44361</v>
      </c>
      <c r="AF2648" s="1">
        <v>10038</v>
      </c>
      <c r="AI2648" s="1" t="s">
        <v>181</v>
      </c>
      <c r="AJ2648" s="1">
        <v>2019</v>
      </c>
      <c r="AK2648" s="1" t="s">
        <v>87</v>
      </c>
      <c r="AL2648" s="1">
        <v>110</v>
      </c>
    </row>
    <row r="2649" spans="1:38" x14ac:dyDescent="0.2">
      <c r="A2649" s="2" t="str">
        <f>HYPERLINK("https://www.compass.com/listing/25-park-row-unit-25c-manhattan-ny-10038/354172840174723361/","25 Park Row, Unit 25C")</f>
        <v>25 Park Row, Unit 25C</v>
      </c>
      <c r="B2649" s="2" t="str">
        <f t="shared" si="425"/>
        <v>25 Park Row</v>
      </c>
      <c r="C2649" s="1" t="s">
        <v>155</v>
      </c>
      <c r="D2649" s="1" t="s">
        <v>41</v>
      </c>
      <c r="E2649" s="3">
        <v>3325000</v>
      </c>
      <c r="F2649" s="1">
        <v>1927.53623188405</v>
      </c>
      <c r="G2649" s="1">
        <v>4.5</v>
      </c>
      <c r="H2649" s="1">
        <v>2</v>
      </c>
      <c r="I2649" s="1">
        <v>3</v>
      </c>
      <c r="J2649" s="1">
        <v>2.5</v>
      </c>
      <c r="K2649" s="1">
        <v>2</v>
      </c>
      <c r="L2649" s="1">
        <v>1</v>
      </c>
      <c r="M2649" s="4">
        <v>1725</v>
      </c>
      <c r="N2649" s="1">
        <v>2354.2600000000002</v>
      </c>
      <c r="O2649" s="1">
        <v>4708.84</v>
      </c>
      <c r="P2649" s="1">
        <v>2354.5833333333298</v>
      </c>
      <c r="Q2649" s="1" t="s">
        <v>42</v>
      </c>
      <c r="S2649" s="1" t="s">
        <v>42</v>
      </c>
      <c r="T2649" s="1" t="s">
        <v>203</v>
      </c>
      <c r="U2649" s="1">
        <v>271</v>
      </c>
      <c r="V2649" s="5">
        <v>44176</v>
      </c>
      <c r="W2649" s="5">
        <v>43740</v>
      </c>
      <c r="X2649" s="1">
        <v>3695000</v>
      </c>
      <c r="Y2649" s="1">
        <v>3695000</v>
      </c>
      <c r="AA2649" s="1">
        <v>3325000</v>
      </c>
      <c r="AB2649" s="1" t="s">
        <v>2035</v>
      </c>
      <c r="AC2649" s="5">
        <v>44175</v>
      </c>
      <c r="AF2649" s="1">
        <v>10038</v>
      </c>
      <c r="AI2649" s="1" t="s">
        <v>186</v>
      </c>
      <c r="AJ2649" s="1">
        <v>2019</v>
      </c>
      <c r="AK2649" s="1" t="s">
        <v>87</v>
      </c>
      <c r="AL2649" s="1">
        <v>110</v>
      </c>
    </row>
    <row r="2650" spans="1:38" x14ac:dyDescent="0.2">
      <c r="A2650" s="2" t="str">
        <f>HYPERLINK("https://www.compass.com/listing/25-park-row-unit-12c-manhattan-ny-10038/394052013491570881/","25 Park Row, Unit 12C")</f>
        <v>25 Park Row, Unit 12C</v>
      </c>
      <c r="B2650" s="2" t="str">
        <f t="shared" si="425"/>
        <v>25 Park Row</v>
      </c>
      <c r="C2650" s="1" t="s">
        <v>155</v>
      </c>
      <c r="D2650" s="1" t="s">
        <v>41</v>
      </c>
      <c r="E2650" s="3">
        <v>2425000</v>
      </c>
      <c r="F2650" s="1">
        <v>1893.0523028883599</v>
      </c>
      <c r="G2650" s="1">
        <v>4</v>
      </c>
      <c r="H2650" s="1">
        <v>2</v>
      </c>
      <c r="I2650" s="1">
        <v>2</v>
      </c>
      <c r="J2650" s="1">
        <v>2</v>
      </c>
      <c r="K2650" s="1">
        <v>2</v>
      </c>
      <c r="M2650" s="4">
        <v>1281</v>
      </c>
      <c r="N2650" s="1">
        <v>1585.63</v>
      </c>
      <c r="O2650" s="1">
        <v>3171.47</v>
      </c>
      <c r="P2650" s="1">
        <v>1585.8333333333301</v>
      </c>
      <c r="Q2650" s="1" t="s">
        <v>42</v>
      </c>
      <c r="S2650" s="1" t="s">
        <v>42</v>
      </c>
      <c r="T2650" s="1" t="s">
        <v>203</v>
      </c>
      <c r="U2650" s="1">
        <v>139</v>
      </c>
      <c r="V2650" s="5">
        <v>44062</v>
      </c>
      <c r="W2650" s="5">
        <v>43795</v>
      </c>
      <c r="X2650" s="1">
        <v>2585000</v>
      </c>
      <c r="Y2650" s="1">
        <v>2585000</v>
      </c>
      <c r="AA2650" s="1">
        <v>2425000</v>
      </c>
      <c r="AB2650" s="1" t="s">
        <v>2036</v>
      </c>
      <c r="AC2650" s="5">
        <v>44061</v>
      </c>
      <c r="AF2650" s="1">
        <v>10038</v>
      </c>
      <c r="AI2650" s="1" t="s">
        <v>181</v>
      </c>
      <c r="AJ2650" s="1">
        <v>2019</v>
      </c>
      <c r="AK2650" s="1" t="s">
        <v>87</v>
      </c>
      <c r="AL2650" s="1">
        <v>110</v>
      </c>
    </row>
    <row r="2651" spans="1:38" x14ac:dyDescent="0.2">
      <c r="A2651" s="2" t="str">
        <f>HYPERLINK("https://www.compass.com/listing/25-park-row-unit-27b-manhattan-ny-10038/482442789911727345/","25 Park Row, Unit 27B")</f>
        <v>25 Park Row, Unit 27B</v>
      </c>
      <c r="B2651" s="2" t="str">
        <f t="shared" si="425"/>
        <v>25 Park Row</v>
      </c>
      <c r="C2651" s="1" t="s">
        <v>155</v>
      </c>
      <c r="D2651" s="1" t="s">
        <v>41</v>
      </c>
      <c r="E2651" s="3">
        <v>2215000</v>
      </c>
      <c r="F2651" s="1">
        <v>1982.99015219337</v>
      </c>
      <c r="G2651" s="1">
        <v>4</v>
      </c>
      <c r="H2651" s="1">
        <v>2</v>
      </c>
      <c r="I2651" s="1">
        <v>2</v>
      </c>
      <c r="J2651" s="1">
        <v>2</v>
      </c>
      <c r="K2651" s="1">
        <v>2</v>
      </c>
      <c r="M2651" s="4">
        <v>1117</v>
      </c>
      <c r="N2651" s="1">
        <v>1420.03</v>
      </c>
      <c r="O2651" s="1">
        <v>2840.25</v>
      </c>
      <c r="P2651" s="1">
        <v>1420.25</v>
      </c>
      <c r="Q2651" s="1" t="s">
        <v>42</v>
      </c>
      <c r="S2651" s="1" t="s">
        <v>42</v>
      </c>
      <c r="T2651" s="1" t="s">
        <v>203</v>
      </c>
      <c r="U2651" s="1">
        <v>23</v>
      </c>
      <c r="V2651" s="5">
        <v>44095</v>
      </c>
      <c r="W2651" s="5">
        <v>43917</v>
      </c>
      <c r="X2651" s="1">
        <v>2280000</v>
      </c>
      <c r="Y2651" s="1">
        <v>2280000</v>
      </c>
      <c r="AA2651" s="1">
        <v>2215000</v>
      </c>
      <c r="AB2651" s="1" t="s">
        <v>2037</v>
      </c>
      <c r="AC2651" s="5">
        <v>44092</v>
      </c>
      <c r="AF2651" s="1">
        <v>10038</v>
      </c>
      <c r="AI2651" s="1" t="s">
        <v>181</v>
      </c>
      <c r="AJ2651" s="1">
        <v>2019</v>
      </c>
      <c r="AK2651" s="1" t="s">
        <v>87</v>
      </c>
      <c r="AL2651" s="1">
        <v>110</v>
      </c>
    </row>
    <row r="2652" spans="1:38" x14ac:dyDescent="0.2">
      <c r="A2652" s="2" t="str">
        <f>HYPERLINK("https://www.compass.com/listing/25-park-row-unit-22a-manhattan-ny-10038/812458629908740545/","25 Park Row, Unit 22A")</f>
        <v>25 Park Row, Unit 22A</v>
      </c>
      <c r="B2652" s="2" t="str">
        <f t="shared" si="425"/>
        <v>25 Park Row</v>
      </c>
      <c r="C2652" s="1" t="s">
        <v>155</v>
      </c>
      <c r="D2652" s="1" t="s">
        <v>41</v>
      </c>
      <c r="E2652" s="3">
        <v>3050000</v>
      </c>
      <c r="F2652" s="1">
        <v>1957.6379974326001</v>
      </c>
      <c r="G2652" s="1">
        <v>4.5</v>
      </c>
      <c r="H2652" s="1">
        <v>2</v>
      </c>
      <c r="I2652" s="1">
        <v>3</v>
      </c>
      <c r="J2652" s="1">
        <v>2.5</v>
      </c>
      <c r="K2652" s="1">
        <v>2</v>
      </c>
      <c r="L2652" s="1">
        <v>1</v>
      </c>
      <c r="M2652" s="4">
        <v>1558</v>
      </c>
      <c r="N2652" s="1">
        <v>2012.34</v>
      </c>
      <c r="O2652" s="1">
        <v>4024.96</v>
      </c>
      <c r="P2652" s="1">
        <v>2012.5833333333301</v>
      </c>
      <c r="Q2652" s="1" t="s">
        <v>42</v>
      </c>
      <c r="S2652" s="1" t="s">
        <v>42</v>
      </c>
      <c r="T2652" s="1" t="s">
        <v>203</v>
      </c>
      <c r="U2652" s="1">
        <v>784</v>
      </c>
      <c r="V2652" s="5">
        <v>44402</v>
      </c>
      <c r="W2652" s="5">
        <v>43494</v>
      </c>
      <c r="X2652" s="1">
        <v>3150000</v>
      </c>
      <c r="Y2652" s="1">
        <v>3150000</v>
      </c>
      <c r="Z2652" s="5">
        <v>44373</v>
      </c>
      <c r="AA2652" s="1">
        <v>3050000</v>
      </c>
      <c r="AB2652" s="1" t="s">
        <v>2038</v>
      </c>
      <c r="AC2652" s="5">
        <v>44407</v>
      </c>
      <c r="AF2652" s="1">
        <v>10038</v>
      </c>
      <c r="AI2652" s="1" t="s">
        <v>181</v>
      </c>
      <c r="AJ2652" s="1">
        <v>2019</v>
      </c>
      <c r="AK2652" s="1" t="s">
        <v>87</v>
      </c>
      <c r="AL2652" s="1">
        <v>110</v>
      </c>
    </row>
    <row r="2653" spans="1:38" x14ac:dyDescent="0.2">
      <c r="A2653" s="2" t="str">
        <f>HYPERLINK("https://www.compass.com/listing/25-park-row-unit-28a-manhattan-ny-10038/178432625797514913/","25 Park Row, Unit 28A")</f>
        <v>25 Park Row, Unit 28A</v>
      </c>
      <c r="B2653" s="2" t="str">
        <f t="shared" si="425"/>
        <v>25 Park Row</v>
      </c>
      <c r="C2653" s="1" t="s">
        <v>155</v>
      </c>
      <c r="D2653" s="1" t="s">
        <v>41</v>
      </c>
      <c r="E2653" s="3">
        <v>4150000</v>
      </c>
      <c r="F2653" s="1">
        <v>2295.35398230088</v>
      </c>
      <c r="G2653" s="1">
        <v>5</v>
      </c>
      <c r="H2653" s="1">
        <v>3</v>
      </c>
      <c r="I2653" s="1">
        <v>3</v>
      </c>
      <c r="J2653" s="1">
        <v>3</v>
      </c>
      <c r="K2653" s="1">
        <v>3</v>
      </c>
      <c r="M2653" s="4">
        <v>1808</v>
      </c>
      <c r="N2653" s="1">
        <v>2463.17</v>
      </c>
      <c r="O2653" s="1">
        <v>4926.68</v>
      </c>
      <c r="P2653" s="1">
        <v>2463.5</v>
      </c>
      <c r="Q2653" s="1" t="s">
        <v>42</v>
      </c>
      <c r="S2653" s="1" t="s">
        <v>42</v>
      </c>
      <c r="T2653" s="1" t="s">
        <v>203</v>
      </c>
      <c r="U2653" s="1">
        <v>70</v>
      </c>
      <c r="V2653" s="5">
        <v>44397</v>
      </c>
      <c r="W2653" s="5">
        <v>44245</v>
      </c>
      <c r="Y2653" s="1">
        <v>4275000</v>
      </c>
      <c r="AA2653" s="1">
        <v>4150000</v>
      </c>
      <c r="AB2653" s="1" t="s">
        <v>2039</v>
      </c>
      <c r="AC2653" s="5">
        <v>44396</v>
      </c>
      <c r="AF2653" s="1">
        <v>10038</v>
      </c>
      <c r="AI2653" s="1" t="s">
        <v>93</v>
      </c>
      <c r="AJ2653" s="1">
        <v>2019</v>
      </c>
      <c r="AK2653" s="1" t="s">
        <v>87</v>
      </c>
      <c r="AL2653" s="1">
        <v>110</v>
      </c>
    </row>
    <row r="2654" spans="1:38" x14ac:dyDescent="0.2">
      <c r="A2654" s="2" t="str">
        <f>HYPERLINK("https://www.compass.com/listing/25-park-row-unit-40a-manhattan-ny-10038/719618655406848721/","25 Park Row, Unit 40A")</f>
        <v>25 Park Row, Unit 40A</v>
      </c>
      <c r="B2654" s="2" t="str">
        <f t="shared" si="425"/>
        <v>25 Park Row</v>
      </c>
      <c r="C2654" s="1" t="s">
        <v>155</v>
      </c>
      <c r="D2654" s="1" t="s">
        <v>41</v>
      </c>
      <c r="E2654" s="3">
        <v>3680000</v>
      </c>
      <c r="F2654" s="1">
        <v>2278.6377708978298</v>
      </c>
      <c r="G2654" s="1">
        <v>4</v>
      </c>
      <c r="H2654" s="1">
        <v>2</v>
      </c>
      <c r="I2654" s="1">
        <v>3</v>
      </c>
      <c r="J2654" s="1">
        <v>2.5</v>
      </c>
      <c r="K2654" s="1">
        <v>2</v>
      </c>
      <c r="L2654" s="1">
        <v>1</v>
      </c>
      <c r="M2654" s="4">
        <v>1615</v>
      </c>
      <c r="N2654" s="1">
        <v>2351.81</v>
      </c>
      <c r="O2654" s="1">
        <v>4703.9399999999996</v>
      </c>
      <c r="P2654" s="1">
        <v>2352.1666666666601</v>
      </c>
      <c r="Q2654" s="1" t="s">
        <v>42</v>
      </c>
      <c r="S2654" s="1" t="s">
        <v>42</v>
      </c>
      <c r="T2654" s="1" t="s">
        <v>203</v>
      </c>
      <c r="U2654" s="1">
        <v>70</v>
      </c>
      <c r="V2654" s="5">
        <v>44386</v>
      </c>
      <c r="W2654" s="5">
        <v>44244</v>
      </c>
      <c r="X2654" s="1">
        <v>4075000</v>
      </c>
      <c r="Y2654" s="1">
        <v>4075000</v>
      </c>
      <c r="AA2654" s="1">
        <v>3680000</v>
      </c>
      <c r="AB2654" s="1" t="s">
        <v>2040</v>
      </c>
      <c r="AC2654" s="5">
        <v>44384</v>
      </c>
      <c r="AF2654" s="1">
        <v>10038</v>
      </c>
      <c r="AI2654" s="1" t="s">
        <v>93</v>
      </c>
      <c r="AJ2654" s="1">
        <v>2019</v>
      </c>
      <c r="AK2654" s="1" t="s">
        <v>87</v>
      </c>
      <c r="AL2654" s="1">
        <v>110</v>
      </c>
    </row>
    <row r="2655" spans="1:38" x14ac:dyDescent="0.2">
      <c r="A2655" s="2" t="str">
        <f>HYPERLINK("https://www.compass.com/listing/25-park-row-unit-31a-manhattan-ny-10038/637736841059176185/","25 Park Row, Unit 31A")</f>
        <v>25 Park Row, Unit 31A</v>
      </c>
      <c r="B2655" s="2" t="str">
        <f t="shared" si="425"/>
        <v>25 Park Row</v>
      </c>
      <c r="C2655" s="1" t="s">
        <v>155</v>
      </c>
      <c r="D2655" s="1" t="s">
        <v>41</v>
      </c>
      <c r="E2655" s="3">
        <v>4050000</v>
      </c>
      <c r="F2655" s="1">
        <v>2240.0442477876099</v>
      </c>
      <c r="G2655" s="1">
        <v>5</v>
      </c>
      <c r="H2655" s="1">
        <v>3</v>
      </c>
      <c r="I2655" s="1">
        <v>3</v>
      </c>
      <c r="J2655" s="1">
        <v>3</v>
      </c>
      <c r="K2655" s="1">
        <v>3</v>
      </c>
      <c r="M2655" s="4">
        <v>1808</v>
      </c>
      <c r="N2655" s="1">
        <v>2496.46</v>
      </c>
      <c r="O2655" s="1">
        <v>4993.26</v>
      </c>
      <c r="P2655" s="1">
        <v>2496.8333333333298</v>
      </c>
      <c r="Q2655" s="1" t="s">
        <v>42</v>
      </c>
      <c r="S2655" s="1" t="s">
        <v>42</v>
      </c>
      <c r="T2655" s="1" t="s">
        <v>203</v>
      </c>
      <c r="V2655" s="5">
        <v>44314</v>
      </c>
      <c r="W2655" s="5">
        <v>44131</v>
      </c>
      <c r="X2655" s="1">
        <v>4380000</v>
      </c>
      <c r="Y2655" s="1">
        <v>4380000</v>
      </c>
      <c r="AA2655" s="1">
        <v>4050000</v>
      </c>
      <c r="AB2655" s="1" t="s">
        <v>2041</v>
      </c>
      <c r="AC2655" s="5">
        <v>44313</v>
      </c>
      <c r="AF2655" s="1">
        <v>10038</v>
      </c>
      <c r="AI2655" s="1" t="s">
        <v>93</v>
      </c>
      <c r="AJ2655" s="1">
        <v>2019</v>
      </c>
      <c r="AK2655" s="1" t="s">
        <v>87</v>
      </c>
      <c r="AL2655" s="1">
        <v>110</v>
      </c>
    </row>
    <row r="2656" spans="1:38" x14ac:dyDescent="0.2">
      <c r="A2656" s="2" t="str">
        <f>HYPERLINK("https://www.compass.com/listing/25-park-row-unit-27c-manhattan-ny-10038/178434626287588737/","25 Park Row, Unit 27C")</f>
        <v>25 Park Row, Unit 27C</v>
      </c>
      <c r="B2656" s="2" t="str">
        <f t="shared" si="425"/>
        <v>25 Park Row</v>
      </c>
      <c r="C2656" s="1" t="s">
        <v>155</v>
      </c>
      <c r="D2656" s="1" t="s">
        <v>41</v>
      </c>
      <c r="E2656" s="3">
        <v>3600000</v>
      </c>
      <c r="F2656" s="1">
        <v>2086.95652173913</v>
      </c>
      <c r="G2656" s="1">
        <v>4</v>
      </c>
      <c r="H2656" s="1">
        <v>2</v>
      </c>
      <c r="I2656" s="1">
        <v>3</v>
      </c>
      <c r="J2656" s="1">
        <v>2.5</v>
      </c>
      <c r="K2656" s="1">
        <v>2</v>
      </c>
      <c r="L2656" s="1">
        <v>1</v>
      </c>
      <c r="M2656" s="4">
        <v>1725</v>
      </c>
      <c r="N2656" s="1">
        <v>2371.4699999999998</v>
      </c>
      <c r="O2656" s="1">
        <v>4743.25</v>
      </c>
      <c r="P2656" s="1">
        <v>2371.75</v>
      </c>
      <c r="Q2656" s="1" t="s">
        <v>42</v>
      </c>
      <c r="S2656" s="1" t="s">
        <v>42</v>
      </c>
      <c r="T2656" s="1" t="s">
        <v>203</v>
      </c>
      <c r="U2656" s="1">
        <v>253</v>
      </c>
      <c r="V2656" s="5">
        <v>44370</v>
      </c>
      <c r="W2656" s="5">
        <v>44106</v>
      </c>
      <c r="Y2656" s="1">
        <v>3765000</v>
      </c>
      <c r="AA2656" s="1">
        <v>3600000</v>
      </c>
      <c r="AB2656" s="1" t="s">
        <v>2042</v>
      </c>
      <c r="AC2656" s="5">
        <v>44369</v>
      </c>
      <c r="AF2656" s="1">
        <v>10038</v>
      </c>
      <c r="AI2656" s="1" t="s">
        <v>2043</v>
      </c>
      <c r="AJ2656" s="1">
        <v>2019</v>
      </c>
      <c r="AK2656" s="1" t="s">
        <v>87</v>
      </c>
      <c r="AL2656" s="1">
        <v>110</v>
      </c>
    </row>
    <row r="2657" spans="1:38" x14ac:dyDescent="0.2">
      <c r="A2657" s="2" t="str">
        <f>HYPERLINK("https://www.compass.com/listing/25-park-row-unit-32c-manhattan-ny-10038/607089728887640473/","25 Park Row, Unit 32C")</f>
        <v>25 Park Row, Unit 32C</v>
      </c>
      <c r="B2657" s="2" t="str">
        <f t="shared" si="425"/>
        <v>25 Park Row</v>
      </c>
      <c r="C2657" s="1" t="s">
        <v>155</v>
      </c>
      <c r="D2657" s="1" t="s">
        <v>41</v>
      </c>
      <c r="E2657" s="3">
        <v>3650000</v>
      </c>
      <c r="F2657" s="1">
        <v>2115.9420289855002</v>
      </c>
      <c r="G2657" s="1">
        <v>4.5</v>
      </c>
      <c r="H2657" s="1">
        <v>2</v>
      </c>
      <c r="I2657" s="1">
        <v>3</v>
      </c>
      <c r="J2657" s="1">
        <v>2.5</v>
      </c>
      <c r="K2657" s="1">
        <v>2</v>
      </c>
      <c r="L2657" s="1">
        <v>1</v>
      </c>
      <c r="M2657" s="4">
        <v>1725</v>
      </c>
      <c r="N2657" s="1">
        <v>2425.44</v>
      </c>
      <c r="O2657" s="1">
        <v>4850.5599999999904</v>
      </c>
      <c r="P2657" s="1">
        <v>2425.0833333333298</v>
      </c>
      <c r="Q2657" s="1" t="s">
        <v>42</v>
      </c>
      <c r="S2657" s="1" t="s">
        <v>42</v>
      </c>
      <c r="T2657" s="1" t="s">
        <v>203</v>
      </c>
      <c r="V2657" s="5">
        <v>44281</v>
      </c>
      <c r="W2657" s="5">
        <v>44089</v>
      </c>
      <c r="X2657" s="1">
        <v>3940000</v>
      </c>
      <c r="Y2657" s="1">
        <v>3940000</v>
      </c>
      <c r="AA2657" s="1">
        <v>3650000</v>
      </c>
      <c r="AB2657" s="1" t="s">
        <v>2044</v>
      </c>
      <c r="AC2657" s="5">
        <v>44280</v>
      </c>
      <c r="AF2657" s="1">
        <v>10038</v>
      </c>
      <c r="AI2657" s="1" t="s">
        <v>186</v>
      </c>
      <c r="AJ2657" s="1">
        <v>2019</v>
      </c>
      <c r="AK2657" s="1" t="s">
        <v>87</v>
      </c>
      <c r="AL2657" s="1">
        <v>110</v>
      </c>
    </row>
    <row r="2658" spans="1:38" x14ac:dyDescent="0.2">
      <c r="A2658" s="2" t="str">
        <f>HYPERLINK("https://www.compass.com/listing/25-park-row-unit-37b-manhattan-ny-10038/178428298492138705/","25 Park Row, Unit 37B")</f>
        <v>25 Park Row, Unit 37B</v>
      </c>
      <c r="B2658" s="2" t="str">
        <f t="shared" si="425"/>
        <v>25 Park Row</v>
      </c>
      <c r="C2658" s="1" t="s">
        <v>155</v>
      </c>
      <c r="D2658" s="1" t="s">
        <v>41</v>
      </c>
      <c r="E2658" s="3">
        <v>5299000</v>
      </c>
      <c r="F2658" s="1">
        <v>2422.95381801554</v>
      </c>
      <c r="G2658" s="1">
        <v>5</v>
      </c>
      <c r="H2658" s="1">
        <v>3</v>
      </c>
      <c r="I2658" s="1">
        <v>4</v>
      </c>
      <c r="J2658" s="1">
        <v>3.5</v>
      </c>
      <c r="K2658" s="1">
        <v>3</v>
      </c>
      <c r="L2658" s="1">
        <v>1</v>
      </c>
      <c r="M2658" s="4">
        <v>2187</v>
      </c>
      <c r="N2658" s="1">
        <v>3190.93</v>
      </c>
      <c r="O2658" s="1">
        <v>6381.28</v>
      </c>
      <c r="P2658" s="1">
        <v>3190.3333333333298</v>
      </c>
      <c r="Q2658" s="1" t="s">
        <v>42</v>
      </c>
      <c r="S2658" s="1" t="s">
        <v>42</v>
      </c>
      <c r="T2658" s="1" t="s">
        <v>203</v>
      </c>
      <c r="U2658" s="1">
        <v>206</v>
      </c>
      <c r="V2658" s="5">
        <v>44183</v>
      </c>
      <c r="W2658" s="5">
        <v>43493</v>
      </c>
      <c r="X2658" s="1">
        <v>5385000</v>
      </c>
      <c r="AB2658" s="1" t="s">
        <v>204</v>
      </c>
      <c r="AF2658" s="1">
        <v>10038</v>
      </c>
      <c r="AI2658" s="1" t="s">
        <v>185</v>
      </c>
      <c r="AJ2658" s="1">
        <v>2019</v>
      </c>
      <c r="AK2658" s="1" t="s">
        <v>87</v>
      </c>
      <c r="AL2658" s="1">
        <v>110</v>
      </c>
    </row>
    <row r="2659" spans="1:38" x14ac:dyDescent="0.2">
      <c r="A2659" s="2" t="str">
        <f>HYPERLINK("https://www.compass.com/listing/25-park-row-unit-29c-manhattan-ny-10038/223044030538226753/","25 Park Row, Unit 29C")</f>
        <v>25 Park Row, Unit 29C</v>
      </c>
      <c r="B2659" s="2" t="str">
        <f t="shared" si="425"/>
        <v>25 Park Row</v>
      </c>
      <c r="C2659" s="1" t="s">
        <v>155</v>
      </c>
      <c r="D2659" s="1" t="s">
        <v>41</v>
      </c>
      <c r="E2659" s="3">
        <v>3750000</v>
      </c>
      <c r="F2659" s="1">
        <v>2173.9130434782601</v>
      </c>
      <c r="G2659" s="1">
        <v>4.5</v>
      </c>
      <c r="H2659" s="1">
        <v>2</v>
      </c>
      <c r="I2659" s="1">
        <v>3</v>
      </c>
      <c r="J2659" s="1">
        <v>2.5</v>
      </c>
      <c r="K2659" s="1">
        <v>2</v>
      </c>
      <c r="L2659" s="1">
        <v>1</v>
      </c>
      <c r="M2659" s="4">
        <v>1725</v>
      </c>
      <c r="N2659" s="1">
        <v>2392.9299999999998</v>
      </c>
      <c r="O2659" s="1">
        <v>4786.18</v>
      </c>
      <c r="P2659" s="1">
        <v>2393.25</v>
      </c>
      <c r="Q2659" s="1" t="s">
        <v>42</v>
      </c>
      <c r="S2659" s="1" t="s">
        <v>42</v>
      </c>
      <c r="T2659" s="1" t="s">
        <v>203</v>
      </c>
      <c r="U2659" s="1">
        <v>236</v>
      </c>
      <c r="V2659" s="5">
        <v>44099</v>
      </c>
      <c r="W2659" s="5">
        <v>43559</v>
      </c>
      <c r="X2659" s="1">
        <v>3835000</v>
      </c>
      <c r="Y2659" s="1">
        <v>3835000</v>
      </c>
      <c r="AA2659" s="1">
        <v>3750000</v>
      </c>
      <c r="AB2659" s="1" t="s">
        <v>2045</v>
      </c>
      <c r="AC2659" s="5">
        <v>44098</v>
      </c>
      <c r="AF2659" s="1">
        <v>10038</v>
      </c>
      <c r="AI2659" s="1" t="s">
        <v>184</v>
      </c>
      <c r="AJ2659" s="1">
        <v>2019</v>
      </c>
      <c r="AK2659" s="1" t="s">
        <v>87</v>
      </c>
      <c r="AL2659" s="1">
        <v>110</v>
      </c>
    </row>
    <row r="2660" spans="1:38" x14ac:dyDescent="0.2">
      <c r="A2660" s="2" t="str">
        <f>HYPERLINK("https://www.compass.com/listing/25-park-row-unit-7e-manhattan-ny-10038/354172840594362049/","25 Park Row, Unit 7E")</f>
        <v>25 Park Row, Unit 7E</v>
      </c>
      <c r="B2660" s="2" t="str">
        <f t="shared" si="425"/>
        <v>25 Park Row</v>
      </c>
      <c r="C2660" s="1" t="s">
        <v>155</v>
      </c>
      <c r="D2660" s="1" t="s">
        <v>41</v>
      </c>
      <c r="E2660" s="3">
        <v>3500000</v>
      </c>
      <c r="F2660" s="1">
        <v>1878.69028448738</v>
      </c>
      <c r="G2660" s="1">
        <v>5.5</v>
      </c>
      <c r="H2660" s="1">
        <v>3</v>
      </c>
      <c r="I2660" s="1">
        <v>3</v>
      </c>
      <c r="J2660" s="1">
        <v>3</v>
      </c>
      <c r="K2660" s="1">
        <v>3</v>
      </c>
      <c r="M2660" s="4">
        <v>1863</v>
      </c>
      <c r="N2660" s="1">
        <v>2250.33</v>
      </c>
      <c r="O2660" s="1">
        <v>4500.96</v>
      </c>
      <c r="P2660" s="1">
        <v>2250.6666666666601</v>
      </c>
      <c r="Q2660" s="1" t="s">
        <v>42</v>
      </c>
      <c r="S2660" s="1" t="s">
        <v>42</v>
      </c>
      <c r="T2660" s="1" t="s">
        <v>203</v>
      </c>
      <c r="V2660" s="5">
        <v>44364</v>
      </c>
      <c r="W2660" s="5">
        <v>43740</v>
      </c>
      <c r="X2660" s="1">
        <v>3610000</v>
      </c>
      <c r="Y2660" s="1">
        <v>3610000</v>
      </c>
      <c r="AA2660" s="1">
        <v>3500000</v>
      </c>
      <c r="AB2660" s="1" t="s">
        <v>2046</v>
      </c>
      <c r="AC2660" s="5">
        <v>44336</v>
      </c>
      <c r="AF2660" s="1">
        <v>10038</v>
      </c>
      <c r="AI2660" s="1" t="s">
        <v>181</v>
      </c>
      <c r="AJ2660" s="1">
        <v>2019</v>
      </c>
      <c r="AK2660" s="1" t="s">
        <v>87</v>
      </c>
      <c r="AL2660" s="1">
        <v>110</v>
      </c>
    </row>
    <row r="2661" spans="1:38" x14ac:dyDescent="0.2">
      <c r="A2661" s="2" t="str">
        <f>HYPERLINK("https://www.compass.com/listing/25-park-row-unit-31c-manhattan-ny-10038/385425631251901441/","25 Park Row, Unit 31C")</f>
        <v>25 Park Row, Unit 31C</v>
      </c>
      <c r="B2661" s="2" t="str">
        <f t="shared" si="425"/>
        <v>25 Park Row</v>
      </c>
      <c r="C2661" s="1" t="s">
        <v>155</v>
      </c>
      <c r="D2661" s="1" t="s">
        <v>41</v>
      </c>
      <c r="E2661" s="3">
        <v>3650000</v>
      </c>
      <c r="F2661" s="1">
        <v>2115.9420289855002</v>
      </c>
      <c r="G2661" s="1">
        <v>4.5</v>
      </c>
      <c r="H2661" s="1">
        <v>2</v>
      </c>
      <c r="I2661" s="1">
        <v>3</v>
      </c>
      <c r="J2661" s="1">
        <v>2.5</v>
      </c>
      <c r="K2661" s="1">
        <v>2</v>
      </c>
      <c r="L2661" s="1">
        <v>1</v>
      </c>
      <c r="M2661" s="4">
        <v>1725</v>
      </c>
      <c r="N2661" s="1">
        <v>2414.39</v>
      </c>
      <c r="O2661" s="1">
        <v>4829.1000000000004</v>
      </c>
      <c r="P2661" s="1">
        <v>2414.75</v>
      </c>
      <c r="Q2661" s="1" t="s">
        <v>42</v>
      </c>
      <c r="S2661" s="1" t="s">
        <v>42</v>
      </c>
      <c r="T2661" s="1" t="s">
        <v>203</v>
      </c>
      <c r="U2661" s="1">
        <v>212</v>
      </c>
      <c r="V2661" s="5">
        <v>44149</v>
      </c>
      <c r="W2661" s="5">
        <v>43783</v>
      </c>
      <c r="X2661" s="1">
        <v>3905000</v>
      </c>
      <c r="Y2661" s="1">
        <v>3905000</v>
      </c>
      <c r="AA2661" s="1">
        <v>3650000</v>
      </c>
      <c r="AB2661" s="1" t="s">
        <v>2047</v>
      </c>
      <c r="AC2661" s="5">
        <v>44148</v>
      </c>
      <c r="AF2661" s="1">
        <v>10038</v>
      </c>
      <c r="AI2661" s="1" t="s">
        <v>186</v>
      </c>
      <c r="AJ2661" s="1">
        <v>2019</v>
      </c>
      <c r="AK2661" s="1" t="s">
        <v>87</v>
      </c>
      <c r="AL2661" s="1">
        <v>110</v>
      </c>
    </row>
    <row r="2662" spans="1:38" x14ac:dyDescent="0.2">
      <c r="A2662" s="2" t="str">
        <f>HYPERLINK("https://www.compass.com/listing/25-park-row-unit-29a-manhattan-ny-10038/440495523427136569/","25 Park Row, Unit 29A")</f>
        <v>25 Park Row, Unit 29A</v>
      </c>
      <c r="B2662" s="2" t="str">
        <f t="shared" si="425"/>
        <v>25 Park Row</v>
      </c>
      <c r="C2662" s="1" t="s">
        <v>155</v>
      </c>
      <c r="D2662" s="1" t="s">
        <v>41</v>
      </c>
      <c r="E2662" s="3">
        <v>3950000</v>
      </c>
      <c r="F2662" s="1">
        <v>2184.7345132743299</v>
      </c>
      <c r="G2662" s="1">
        <v>5</v>
      </c>
      <c r="H2662" s="1">
        <v>3</v>
      </c>
      <c r="I2662" s="1">
        <v>3</v>
      </c>
      <c r="J2662" s="1">
        <v>3</v>
      </c>
      <c r="K2662" s="1">
        <v>3</v>
      </c>
      <c r="M2662" s="4">
        <v>1808</v>
      </c>
      <c r="N2662" s="1">
        <v>2474.27</v>
      </c>
      <c r="O2662" s="1">
        <v>4948.87</v>
      </c>
      <c r="P2662" s="1">
        <v>2474.5833333333298</v>
      </c>
      <c r="Q2662" s="1" t="s">
        <v>42</v>
      </c>
      <c r="S2662" s="1" t="s">
        <v>42</v>
      </c>
      <c r="T2662" s="1" t="s">
        <v>203</v>
      </c>
      <c r="U2662" s="1">
        <v>178</v>
      </c>
      <c r="V2662" s="5">
        <v>44252</v>
      </c>
      <c r="W2662" s="5">
        <v>43859</v>
      </c>
      <c r="X2662" s="1">
        <v>4310000</v>
      </c>
      <c r="Y2662" s="1">
        <v>4310000</v>
      </c>
      <c r="Z2662" s="5">
        <v>44236</v>
      </c>
      <c r="AA2662" s="1">
        <v>3950000</v>
      </c>
      <c r="AB2662" s="1" t="s">
        <v>2048</v>
      </c>
      <c r="AC2662" s="5">
        <v>44250</v>
      </c>
      <c r="AF2662" s="1">
        <v>10038</v>
      </c>
      <c r="AI2662" s="1" t="s">
        <v>93</v>
      </c>
      <c r="AJ2662" s="1">
        <v>2019</v>
      </c>
      <c r="AK2662" s="1" t="s">
        <v>87</v>
      </c>
      <c r="AL2662" s="1">
        <v>110</v>
      </c>
    </row>
    <row r="2663" spans="1:38" x14ac:dyDescent="0.2">
      <c r="A2663" s="2" t="str">
        <f>HYPERLINK("https://www.compass.com/listing/25-park-row-unit-8e-manhattan-ny-10038/440512061811204633/","25 Park Row, Unit 8E")</f>
        <v>25 Park Row, Unit 8E</v>
      </c>
      <c r="B2663" s="2" t="str">
        <f t="shared" si="425"/>
        <v>25 Park Row</v>
      </c>
      <c r="C2663" s="1" t="s">
        <v>155</v>
      </c>
      <c r="D2663" s="1" t="s">
        <v>41</v>
      </c>
      <c r="E2663" s="3">
        <v>3550000</v>
      </c>
      <c r="F2663" s="1">
        <v>1905.5287171229199</v>
      </c>
      <c r="G2663" s="1">
        <v>5</v>
      </c>
      <c r="H2663" s="1">
        <v>3</v>
      </c>
      <c r="I2663" s="1">
        <v>3</v>
      </c>
      <c r="J2663" s="1">
        <v>3</v>
      </c>
      <c r="K2663" s="1">
        <v>3</v>
      </c>
      <c r="M2663" s="4">
        <v>1863</v>
      </c>
      <c r="N2663" s="1">
        <v>2261.4699999999998</v>
      </c>
      <c r="O2663" s="1">
        <v>4523.24</v>
      </c>
      <c r="P2663" s="1">
        <v>2261.75</v>
      </c>
      <c r="Q2663" s="1" t="s">
        <v>42</v>
      </c>
      <c r="S2663" s="1" t="s">
        <v>42</v>
      </c>
      <c r="T2663" s="1" t="s">
        <v>203</v>
      </c>
      <c r="U2663" s="1">
        <v>132</v>
      </c>
      <c r="V2663" s="5">
        <v>44352</v>
      </c>
      <c r="W2663" s="5">
        <v>44132</v>
      </c>
      <c r="Y2663" s="1">
        <v>3645000</v>
      </c>
      <c r="AA2663" s="1">
        <v>3550000</v>
      </c>
      <c r="AB2663" s="1" t="s">
        <v>2049</v>
      </c>
      <c r="AC2663" s="5">
        <v>44351</v>
      </c>
      <c r="AF2663" s="1">
        <v>10038</v>
      </c>
      <c r="AI2663" s="1" t="s">
        <v>181</v>
      </c>
      <c r="AJ2663" s="1">
        <v>2019</v>
      </c>
      <c r="AK2663" s="1" t="s">
        <v>87</v>
      </c>
      <c r="AL2663" s="1">
        <v>110</v>
      </c>
    </row>
    <row r="2664" spans="1:38" x14ac:dyDescent="0.2">
      <c r="A2664" s="2" t="str">
        <f>HYPERLINK("https://www.compass.com/listing/25-park-row-unit-36b-manhattan-ny-10038/324479994218209025/","25 Park Row, Unit 36B")</f>
        <v>25 Park Row, Unit 36B</v>
      </c>
      <c r="B2664" s="2" t="str">
        <f t="shared" si="425"/>
        <v>25 Park Row</v>
      </c>
      <c r="C2664" s="1" t="s">
        <v>155</v>
      </c>
      <c r="D2664" s="1" t="s">
        <v>41</v>
      </c>
      <c r="E2664" s="3">
        <v>5335000</v>
      </c>
      <c r="F2664" s="1">
        <v>2439.4147233653398</v>
      </c>
      <c r="G2664" s="1">
        <v>5.5</v>
      </c>
      <c r="H2664" s="1">
        <v>3</v>
      </c>
      <c r="I2664" s="1">
        <v>4</v>
      </c>
      <c r="J2664" s="1">
        <v>3.5</v>
      </c>
      <c r="K2664" s="1">
        <v>3</v>
      </c>
      <c r="L2664" s="1">
        <v>1</v>
      </c>
      <c r="M2664" s="4">
        <v>2187</v>
      </c>
      <c r="N2664" s="1">
        <v>3174.47</v>
      </c>
      <c r="O2664" s="1">
        <v>6349.37</v>
      </c>
      <c r="P2664" s="1">
        <v>3174.9166666666601</v>
      </c>
      <c r="Q2664" s="1" t="s">
        <v>42</v>
      </c>
      <c r="S2664" s="1" t="s">
        <v>42</v>
      </c>
      <c r="T2664" s="1" t="s">
        <v>203</v>
      </c>
      <c r="U2664" s="1">
        <v>104</v>
      </c>
      <c r="V2664" s="5">
        <v>44170</v>
      </c>
      <c r="W2664" s="5">
        <v>43699</v>
      </c>
      <c r="X2664" s="1">
        <v>5335000</v>
      </c>
      <c r="Y2664" s="1">
        <v>5335000</v>
      </c>
      <c r="AA2664" s="1">
        <v>5335000</v>
      </c>
      <c r="AB2664" s="1" t="s">
        <v>2050</v>
      </c>
      <c r="AC2664" s="5">
        <v>44159</v>
      </c>
      <c r="AF2664" s="1">
        <v>10038</v>
      </c>
      <c r="AI2664" s="1" t="s">
        <v>185</v>
      </c>
      <c r="AJ2664" s="1">
        <v>2019</v>
      </c>
      <c r="AK2664" s="1" t="s">
        <v>87</v>
      </c>
      <c r="AL2664" s="1">
        <v>110</v>
      </c>
    </row>
    <row r="2665" spans="1:38" x14ac:dyDescent="0.2">
      <c r="A2665" s="2" t="str">
        <f>HYPERLINK("https://www.compass.com/listing/25-park-row-unit-38b-manhattan-ny-10038/399853415518296801/","25 Park Row, Unit 38B")</f>
        <v>25 Park Row, Unit 38B</v>
      </c>
      <c r="B2665" s="2" t="str">
        <f t="shared" si="425"/>
        <v>25 Park Row</v>
      </c>
      <c r="C2665" s="1" t="s">
        <v>155</v>
      </c>
      <c r="D2665" s="1" t="s">
        <v>41</v>
      </c>
      <c r="E2665" s="3">
        <v>5540000</v>
      </c>
      <c r="F2665" s="1">
        <v>2533.1504343850002</v>
      </c>
      <c r="G2665" s="1">
        <v>5.5</v>
      </c>
      <c r="H2665" s="1">
        <v>3</v>
      </c>
      <c r="I2665" s="1">
        <v>4</v>
      </c>
      <c r="J2665" s="1">
        <v>3.5</v>
      </c>
      <c r="K2665" s="1">
        <v>3</v>
      </c>
      <c r="L2665" s="1">
        <v>1</v>
      </c>
      <c r="M2665" s="4">
        <v>2187</v>
      </c>
      <c r="N2665" s="1">
        <v>3205.38</v>
      </c>
      <c r="O2665" s="1">
        <v>6411.19</v>
      </c>
      <c r="P2665" s="1">
        <v>3205.8333333333298</v>
      </c>
      <c r="Q2665" s="1" t="s">
        <v>42</v>
      </c>
      <c r="S2665" s="1" t="s">
        <v>42</v>
      </c>
      <c r="T2665" s="1" t="s">
        <v>203</v>
      </c>
      <c r="V2665" s="5">
        <v>44274</v>
      </c>
      <c r="W2665" s="5">
        <v>43803</v>
      </c>
      <c r="X2665" s="1">
        <v>5540000</v>
      </c>
      <c r="Y2665" s="1">
        <v>5540000</v>
      </c>
      <c r="AA2665" s="1">
        <v>5540000</v>
      </c>
      <c r="AB2665" s="1" t="s">
        <v>2051</v>
      </c>
      <c r="AC2665" s="5">
        <v>44266</v>
      </c>
      <c r="AF2665" s="1">
        <v>10038</v>
      </c>
      <c r="AI2665" s="1" t="s">
        <v>185</v>
      </c>
      <c r="AJ2665" s="1">
        <v>2019</v>
      </c>
      <c r="AK2665" s="1" t="s">
        <v>87</v>
      </c>
      <c r="AL2665" s="1">
        <v>110</v>
      </c>
    </row>
    <row r="2666" spans="1:38" x14ac:dyDescent="0.2">
      <c r="A2666" s="2" t="str">
        <f>HYPERLINK("https://www.compass.com/listing/25-park-row-unit-ph45a-manhattan-ny-10038/254110057137034401/","25 Park Row, Unit PH45A")</f>
        <v>25 Park Row, Unit PH45A</v>
      </c>
      <c r="B2666" s="2" t="str">
        <f t="shared" si="425"/>
        <v>25 Park Row</v>
      </c>
      <c r="C2666" s="1" t="s">
        <v>155</v>
      </c>
      <c r="D2666" s="1" t="s">
        <v>41</v>
      </c>
      <c r="E2666" s="3">
        <v>19500000</v>
      </c>
      <c r="F2666" s="1">
        <v>3274.0094022834101</v>
      </c>
      <c r="G2666" s="1">
        <v>8</v>
      </c>
      <c r="H2666" s="1">
        <v>5</v>
      </c>
      <c r="I2666" s="1">
        <v>6</v>
      </c>
      <c r="J2666" s="1">
        <v>5.5</v>
      </c>
      <c r="K2666" s="1">
        <v>5</v>
      </c>
      <c r="L2666" s="1">
        <v>1</v>
      </c>
      <c r="M2666" s="4">
        <v>5956</v>
      </c>
      <c r="N2666" s="1">
        <v>10326.74</v>
      </c>
      <c r="O2666" s="1">
        <v>20652.09</v>
      </c>
      <c r="P2666" s="1">
        <v>10325.333333333299</v>
      </c>
      <c r="Q2666" s="1" t="s">
        <v>42</v>
      </c>
      <c r="S2666" s="1" t="s">
        <v>42</v>
      </c>
      <c r="T2666" s="1" t="s">
        <v>203</v>
      </c>
      <c r="U2666" s="1">
        <v>415</v>
      </c>
      <c r="V2666" s="5">
        <v>44230</v>
      </c>
      <c r="W2666" s="5">
        <v>43600</v>
      </c>
      <c r="X2666" s="1">
        <v>25000000</v>
      </c>
      <c r="Y2666" s="1">
        <v>25000000</v>
      </c>
      <c r="Z2666" s="5">
        <v>44110</v>
      </c>
      <c r="AA2666" s="1">
        <v>19500000</v>
      </c>
      <c r="AB2666" s="1" t="s">
        <v>2052</v>
      </c>
      <c r="AC2666" s="5">
        <v>44188</v>
      </c>
      <c r="AF2666" s="1">
        <v>10038</v>
      </c>
      <c r="AI2666" s="1" t="s">
        <v>93</v>
      </c>
      <c r="AJ2666" s="1">
        <v>2019</v>
      </c>
      <c r="AK2666" s="1" t="s">
        <v>87</v>
      </c>
      <c r="AL2666" s="1">
        <v>110</v>
      </c>
    </row>
    <row r="2667" spans="1:38" x14ac:dyDescent="0.2">
      <c r="A2667" s="2" t="str">
        <f>HYPERLINK("https://www.compass.com/listing/242-broome-street-unit-14e-manhattan-ny-10002/232432064954221329/","242 Broome St, Unit 14E")</f>
        <v>242 Broome St, Unit 14E</v>
      </c>
      <c r="B2667" s="2" t="str">
        <f t="shared" ref="B2667:B2673" si="426">HYPERLINK("https://www.compass.com/building/242-broome-essex-crossing-manhattan-ny/292776610392708181/","242 Broome, Essex Crossing")</f>
        <v>242 Broome, Essex Crossing</v>
      </c>
      <c r="C2667" s="1" t="s">
        <v>84</v>
      </c>
      <c r="D2667" s="1" t="s">
        <v>41</v>
      </c>
      <c r="E2667" s="3">
        <v>2375000</v>
      </c>
      <c r="F2667" s="1">
        <v>1937.1941272430599</v>
      </c>
      <c r="G2667" s="1">
        <v>4</v>
      </c>
      <c r="H2667" s="1">
        <v>2</v>
      </c>
      <c r="I2667" s="1">
        <v>2</v>
      </c>
      <c r="J2667" s="1">
        <v>2</v>
      </c>
      <c r="K2667" s="1">
        <v>2</v>
      </c>
      <c r="M2667" s="4">
        <v>1226</v>
      </c>
      <c r="N2667" s="1">
        <v>2445</v>
      </c>
      <c r="O2667" s="1">
        <v>3061</v>
      </c>
      <c r="P2667" s="1">
        <v>616</v>
      </c>
      <c r="Q2667" s="1" t="s">
        <v>2053</v>
      </c>
      <c r="R2667" s="1" t="s">
        <v>2054</v>
      </c>
      <c r="S2667" s="1" t="s">
        <v>42</v>
      </c>
      <c r="T2667" s="1" t="s">
        <v>203</v>
      </c>
      <c r="U2667" s="1">
        <v>1344</v>
      </c>
      <c r="V2667" s="5">
        <v>44314</v>
      </c>
      <c r="W2667" s="5">
        <v>42579</v>
      </c>
      <c r="X2667" s="1">
        <v>2825000</v>
      </c>
      <c r="Y2667" s="1">
        <v>2695000</v>
      </c>
      <c r="Z2667" s="5">
        <v>44095</v>
      </c>
      <c r="AA2667" s="1">
        <v>2375000</v>
      </c>
      <c r="AB2667" s="1" t="s">
        <v>2055</v>
      </c>
      <c r="AC2667" s="5">
        <v>44238</v>
      </c>
      <c r="AF2667" s="1">
        <v>10002</v>
      </c>
      <c r="AI2667" s="1" t="s">
        <v>45</v>
      </c>
      <c r="AJ2667" s="1">
        <v>2018</v>
      </c>
      <c r="AK2667" s="1" t="s">
        <v>50</v>
      </c>
      <c r="AL2667" s="1">
        <v>55</v>
      </c>
    </row>
    <row r="2668" spans="1:38" x14ac:dyDescent="0.2">
      <c r="A2668" s="2" t="str">
        <f>HYPERLINK("https://www.compass.com/listing/242-broome-street-unit-phc-manhattan-ny-10002/29669361073533889/","242 Broome St, Unit PHC")</f>
        <v>242 Broome St, Unit PHC</v>
      </c>
      <c r="B2668" s="2" t="str">
        <f t="shared" si="426"/>
        <v>242 Broome, Essex Crossing</v>
      </c>
      <c r="C2668" s="1" t="s">
        <v>84</v>
      </c>
      <c r="D2668" s="1" t="s">
        <v>41</v>
      </c>
      <c r="E2668" s="3">
        <v>5650000</v>
      </c>
      <c r="F2668" s="1">
        <v>2590.5547913801001</v>
      </c>
      <c r="G2668" s="1">
        <v>7</v>
      </c>
      <c r="H2668" s="1">
        <v>3</v>
      </c>
      <c r="I2668" s="1">
        <v>4</v>
      </c>
      <c r="J2668" s="1">
        <v>3.5</v>
      </c>
      <c r="K2668" s="1">
        <v>3</v>
      </c>
      <c r="L2668" s="1">
        <v>1</v>
      </c>
      <c r="M2668" s="4">
        <v>2181</v>
      </c>
      <c r="N2668" s="1">
        <v>4878</v>
      </c>
      <c r="O2668" s="1">
        <v>6326</v>
      </c>
      <c r="P2668" s="1">
        <v>1448</v>
      </c>
      <c r="Q2668" s="1" t="s">
        <v>42</v>
      </c>
      <c r="S2668" s="1" t="s">
        <v>42</v>
      </c>
      <c r="T2668" s="1" t="s">
        <v>203</v>
      </c>
      <c r="U2668" s="1">
        <v>50</v>
      </c>
      <c r="V2668" s="5">
        <v>44314</v>
      </c>
      <c r="W2668" s="5">
        <v>43470</v>
      </c>
      <c r="X2668" s="1">
        <v>5900000</v>
      </c>
      <c r="Y2668" s="1">
        <v>5900000</v>
      </c>
      <c r="Z2668" s="5">
        <v>43520</v>
      </c>
      <c r="AA2668" s="1">
        <v>5650000</v>
      </c>
      <c r="AB2668" s="1" t="s">
        <v>2056</v>
      </c>
      <c r="AC2668" s="5">
        <v>43577</v>
      </c>
      <c r="AF2668" s="1">
        <v>10002</v>
      </c>
      <c r="AI2668" s="1" t="s">
        <v>115</v>
      </c>
      <c r="AJ2668" s="1">
        <v>2018</v>
      </c>
      <c r="AK2668" s="1" t="s">
        <v>50</v>
      </c>
      <c r="AL2668" s="1">
        <v>55</v>
      </c>
    </row>
    <row r="2669" spans="1:38" x14ac:dyDescent="0.2">
      <c r="A2669" s="2" t="str">
        <f>HYPERLINK("https://www.compass.com/listing/242-broome-street-unit-11b-manhattan-ny-10002/333868212906937665/","242 Broome St, Unit 11B")</f>
        <v>242 Broome St, Unit 11B</v>
      </c>
      <c r="B2669" s="2" t="str">
        <f t="shared" si="426"/>
        <v>242 Broome, Essex Crossing</v>
      </c>
      <c r="C2669" s="1" t="s">
        <v>84</v>
      </c>
      <c r="D2669" s="1" t="s">
        <v>41</v>
      </c>
      <c r="E2669" s="3">
        <v>3195000</v>
      </c>
      <c r="F2669" s="1">
        <v>1842.56055363321</v>
      </c>
      <c r="G2669" s="1">
        <v>7</v>
      </c>
      <c r="H2669" s="1">
        <v>3</v>
      </c>
      <c r="I2669" s="1">
        <v>4</v>
      </c>
      <c r="J2669" s="1">
        <v>3.5</v>
      </c>
      <c r="K2669" s="1">
        <v>3</v>
      </c>
      <c r="L2669" s="1">
        <v>1</v>
      </c>
      <c r="M2669" s="4">
        <v>1734</v>
      </c>
      <c r="N2669" s="1">
        <v>3425</v>
      </c>
      <c r="O2669" s="1">
        <v>4441</v>
      </c>
      <c r="P2669" s="1">
        <v>1016</v>
      </c>
      <c r="Q2669" s="1" t="s">
        <v>42</v>
      </c>
      <c r="S2669" s="1" t="s">
        <v>42</v>
      </c>
      <c r="T2669" s="1" t="s">
        <v>203</v>
      </c>
      <c r="U2669" s="1">
        <v>16</v>
      </c>
      <c r="V2669" s="5">
        <v>44427</v>
      </c>
      <c r="W2669" s="5">
        <v>43713</v>
      </c>
      <c r="X2669" s="1">
        <v>3195000</v>
      </c>
      <c r="Y2669" s="1">
        <v>3195000</v>
      </c>
      <c r="Z2669" s="5">
        <v>43729</v>
      </c>
      <c r="AA2669" s="1">
        <v>3195000</v>
      </c>
      <c r="AB2669" s="1" t="s">
        <v>2057</v>
      </c>
      <c r="AC2669" s="5">
        <v>43788</v>
      </c>
      <c r="AF2669" s="1">
        <v>10002</v>
      </c>
      <c r="AI2669" s="1" t="s">
        <v>45</v>
      </c>
      <c r="AJ2669" s="1">
        <v>2018</v>
      </c>
      <c r="AK2669" s="1" t="s">
        <v>50</v>
      </c>
      <c r="AL2669" s="1">
        <v>55</v>
      </c>
    </row>
    <row r="2670" spans="1:38" x14ac:dyDescent="0.2">
      <c r="A2670" s="2" t="str">
        <f>HYPERLINK("https://www.compass.com/listing/242-broome-street-unit-phb-manhattan-ny-10002/121579406383724369/","242 Broome St, Unit PHB")</f>
        <v>242 Broome St, Unit PHB</v>
      </c>
      <c r="B2670" s="2" t="str">
        <f t="shared" si="426"/>
        <v>242 Broome, Essex Crossing</v>
      </c>
      <c r="C2670" s="1" t="s">
        <v>84</v>
      </c>
      <c r="D2670" s="1" t="s">
        <v>41</v>
      </c>
      <c r="E2670" s="3">
        <v>6520000</v>
      </c>
      <c r="F2670" s="1">
        <v>2631.1541565778798</v>
      </c>
      <c r="G2670" s="1">
        <v>7</v>
      </c>
      <c r="H2670" s="1">
        <v>3</v>
      </c>
      <c r="I2670" s="1">
        <v>4</v>
      </c>
      <c r="J2670" s="1">
        <v>3.5</v>
      </c>
      <c r="K2670" s="1">
        <v>3</v>
      </c>
      <c r="L2670" s="1">
        <v>1</v>
      </c>
      <c r="M2670" s="4">
        <v>2478</v>
      </c>
      <c r="N2670" s="1">
        <v>5608</v>
      </c>
      <c r="O2670" s="1">
        <v>7272</v>
      </c>
      <c r="P2670" s="1">
        <v>1664</v>
      </c>
      <c r="Q2670" s="1" t="s">
        <v>42</v>
      </c>
      <c r="S2670" s="1" t="s">
        <v>42</v>
      </c>
      <c r="T2670" s="1" t="s">
        <v>203</v>
      </c>
      <c r="U2670" s="1">
        <v>1064</v>
      </c>
      <c r="V2670" s="5">
        <v>44350</v>
      </c>
      <c r="W2670" s="5">
        <v>42579</v>
      </c>
      <c r="AA2670" s="1">
        <v>6520000</v>
      </c>
      <c r="AB2670" s="1" t="s">
        <v>2058</v>
      </c>
      <c r="AC2670" s="5">
        <v>43643</v>
      </c>
      <c r="AF2670" s="1">
        <v>10002</v>
      </c>
      <c r="AI2670" s="1" t="s">
        <v>115</v>
      </c>
      <c r="AJ2670" s="1">
        <v>2018</v>
      </c>
      <c r="AK2670" s="1" t="s">
        <v>50</v>
      </c>
      <c r="AL2670" s="1">
        <v>55</v>
      </c>
    </row>
    <row r="2671" spans="1:38" x14ac:dyDescent="0.2">
      <c r="A2671" s="2" t="str">
        <f>HYPERLINK("https://www.compass.com/listing/242-broome-street-unit-12b-manhattan-ny-10002/97691748209334177/","242 Broome St, Unit 12B")</f>
        <v>242 Broome St, Unit 12B</v>
      </c>
      <c r="B2671" s="2" t="str">
        <f t="shared" si="426"/>
        <v>242 Broome, Essex Crossing</v>
      </c>
      <c r="C2671" s="1" t="s">
        <v>84</v>
      </c>
      <c r="D2671" s="1" t="s">
        <v>41</v>
      </c>
      <c r="E2671" s="3">
        <v>2975000</v>
      </c>
      <c r="F2671" s="1">
        <v>1767.6767676767599</v>
      </c>
      <c r="G2671" s="1">
        <v>5</v>
      </c>
      <c r="H2671" s="1">
        <v>3</v>
      </c>
      <c r="I2671" s="1">
        <v>4</v>
      </c>
      <c r="J2671" s="1">
        <v>3.5</v>
      </c>
      <c r="K2671" s="1">
        <v>3</v>
      </c>
      <c r="L2671" s="1">
        <v>1</v>
      </c>
      <c r="M2671" s="4">
        <v>1683</v>
      </c>
      <c r="N2671" s="1">
        <v>3340</v>
      </c>
      <c r="O2671" s="1">
        <v>4191</v>
      </c>
      <c r="P2671" s="1">
        <v>851</v>
      </c>
      <c r="Q2671" s="1" t="s">
        <v>42</v>
      </c>
      <c r="S2671" s="1" t="s">
        <v>42</v>
      </c>
      <c r="T2671" s="1" t="s">
        <v>203</v>
      </c>
      <c r="U2671" s="1">
        <v>525</v>
      </c>
      <c r="V2671" s="5">
        <v>44350</v>
      </c>
      <c r="W2671" s="5">
        <v>43385</v>
      </c>
      <c r="X2671" s="1">
        <v>3495000</v>
      </c>
      <c r="Y2671" s="1">
        <v>3495000</v>
      </c>
      <c r="AA2671" s="1">
        <v>2975000</v>
      </c>
      <c r="AB2671" s="1" t="s">
        <v>2059</v>
      </c>
      <c r="AC2671" s="5">
        <v>43936</v>
      </c>
      <c r="AF2671" s="1">
        <v>10002</v>
      </c>
      <c r="AI2671" s="1" t="s">
        <v>45</v>
      </c>
      <c r="AJ2671" s="1">
        <v>2018</v>
      </c>
      <c r="AK2671" s="1" t="s">
        <v>50</v>
      </c>
      <c r="AL2671" s="1">
        <v>55</v>
      </c>
    </row>
    <row r="2672" spans="1:38" x14ac:dyDescent="0.2">
      <c r="A2672" s="2" t="str">
        <f>HYPERLINK("https://www.compass.com/listing/242-broome-street-unit-8c-manhattan-ny-10002/29638570058800401/","242 Broome St, Unit 8C")</f>
        <v>242 Broome St, Unit 8C</v>
      </c>
      <c r="B2672" s="2" t="str">
        <f t="shared" si="426"/>
        <v>242 Broome, Essex Crossing</v>
      </c>
      <c r="C2672" s="1" t="s">
        <v>84</v>
      </c>
      <c r="D2672" s="1" t="s">
        <v>41</v>
      </c>
      <c r="E2672" s="3">
        <v>3049659</v>
      </c>
      <c r="F2672" s="1">
        <v>1953.6572709801401</v>
      </c>
      <c r="G2672" s="1">
        <v>5</v>
      </c>
      <c r="H2672" s="1">
        <v>2</v>
      </c>
      <c r="I2672" s="1">
        <v>3</v>
      </c>
      <c r="J2672" s="1">
        <v>2.5</v>
      </c>
      <c r="K2672" s="1">
        <v>2</v>
      </c>
      <c r="L2672" s="1">
        <v>1</v>
      </c>
      <c r="M2672" s="4">
        <v>1561</v>
      </c>
      <c r="N2672" s="1">
        <v>3038</v>
      </c>
      <c r="O2672" s="1">
        <v>3940</v>
      </c>
      <c r="P2672" s="1">
        <v>902</v>
      </c>
      <c r="Q2672" s="1" t="s">
        <v>42</v>
      </c>
      <c r="S2672" s="1" t="s">
        <v>42</v>
      </c>
      <c r="T2672" s="1" t="s">
        <v>203</v>
      </c>
      <c r="U2672" s="1">
        <v>45</v>
      </c>
      <c r="V2672" s="5">
        <v>44314</v>
      </c>
      <c r="W2672" s="5">
        <v>43260</v>
      </c>
      <c r="X2672" s="1">
        <v>2995000</v>
      </c>
      <c r="Y2672" s="1">
        <v>2995000</v>
      </c>
      <c r="Z2672" s="5">
        <v>43305</v>
      </c>
      <c r="AA2672" s="1">
        <v>3049659</v>
      </c>
      <c r="AB2672" s="1" t="s">
        <v>1962</v>
      </c>
      <c r="AC2672" s="5">
        <v>43342</v>
      </c>
      <c r="AF2672" s="1">
        <v>10002</v>
      </c>
      <c r="AI2672" s="1" t="s">
        <v>58</v>
      </c>
      <c r="AJ2672" s="1">
        <v>2017</v>
      </c>
      <c r="AK2672" s="1" t="s">
        <v>81</v>
      </c>
      <c r="AL2672" s="1">
        <v>55</v>
      </c>
    </row>
    <row r="2673" spans="1:38" x14ac:dyDescent="0.2">
      <c r="A2673" s="2" t="str">
        <f>HYPERLINK("https://www.compass.com/listing/242-broome-street-unit-5e-manhattan-ny-10002/100381420517635073/","242 Broome St, Unit 5E")</f>
        <v>242 Broome St, Unit 5E</v>
      </c>
      <c r="B2673" s="2" t="str">
        <f t="shared" si="426"/>
        <v>242 Broome, Essex Crossing</v>
      </c>
      <c r="C2673" s="1" t="s">
        <v>84</v>
      </c>
      <c r="D2673" s="1" t="s">
        <v>41</v>
      </c>
      <c r="E2673" s="3">
        <v>284390</v>
      </c>
      <c r="F2673" s="1">
        <v>328.77398843930598</v>
      </c>
      <c r="M2673" s="1">
        <v>865</v>
      </c>
      <c r="Q2673" s="1" t="s">
        <v>42</v>
      </c>
      <c r="S2673" s="1" t="s">
        <v>42</v>
      </c>
      <c r="T2673" s="1" t="s">
        <v>203</v>
      </c>
      <c r="AA2673" s="1">
        <v>284389.5</v>
      </c>
      <c r="AB2673" s="1" t="s">
        <v>2060</v>
      </c>
      <c r="AC2673" s="5">
        <v>43378</v>
      </c>
      <c r="AF2673" s="1">
        <v>10002</v>
      </c>
      <c r="AI2673" s="1" t="s">
        <v>45</v>
      </c>
      <c r="AJ2673" s="1">
        <v>2018</v>
      </c>
      <c r="AK2673" s="1" t="s">
        <v>50</v>
      </c>
      <c r="AL2673" s="1">
        <v>55</v>
      </c>
    </row>
    <row r="2674" spans="1:38" x14ac:dyDescent="0.2">
      <c r="A2674" s="2" t="str">
        <f>HYPERLINK("https://www.compass.com/listing/591-3rd-avenue-unit-12b-manhattan-ny-10016/100402150923844289/","591 3rd Ave, Unit 12B")</f>
        <v>591 3rd Ave, Unit 12B</v>
      </c>
      <c r="B2674" s="2" t="str">
        <f t="shared" ref="B2674:B2675" si="427">HYPERLINK("https://www.compass.com/building/the-lindley-manhattan-ny/282058799928343829/","The Lindley")</f>
        <v>The Lindley</v>
      </c>
      <c r="C2674" s="1" t="s">
        <v>165</v>
      </c>
      <c r="D2674" s="1" t="s">
        <v>41</v>
      </c>
      <c r="E2674" s="3">
        <v>2441712</v>
      </c>
      <c r="F2674" s="1">
        <v>1907.5875000000001</v>
      </c>
      <c r="M2674" s="4">
        <v>1280</v>
      </c>
      <c r="Q2674" s="1" t="s">
        <v>42</v>
      </c>
      <c r="S2674" s="1" t="s">
        <v>42</v>
      </c>
      <c r="T2674" s="1" t="s">
        <v>203</v>
      </c>
      <c r="AA2674" s="1">
        <v>2441712</v>
      </c>
      <c r="AB2674" s="1" t="s">
        <v>2061</v>
      </c>
      <c r="AC2674" s="5">
        <v>43378</v>
      </c>
      <c r="AF2674" s="1">
        <v>10016</v>
      </c>
      <c r="AI2674" s="1" t="s">
        <v>166</v>
      </c>
      <c r="AJ2674" s="1">
        <v>2018</v>
      </c>
      <c r="AK2674" s="1" t="s">
        <v>55</v>
      </c>
      <c r="AL2674" s="1">
        <v>74</v>
      </c>
    </row>
    <row r="2675" spans="1:38" x14ac:dyDescent="0.2">
      <c r="A2675" s="2" t="str">
        <f>HYPERLINK("https://www.compass.com/listing/591-3rd-avenue-unit-19a-manhattan-ny-10016/100402151737614401/","591 3rd Ave, Unit 19A")</f>
        <v>591 3rd Ave, Unit 19A</v>
      </c>
      <c r="B2675" s="2" t="str">
        <f t="shared" si="427"/>
        <v>The Lindley</v>
      </c>
      <c r="C2675" s="1" t="s">
        <v>165</v>
      </c>
      <c r="D2675" s="1" t="s">
        <v>41</v>
      </c>
      <c r="E2675" s="3">
        <v>2899921</v>
      </c>
      <c r="F2675" s="1">
        <v>2227.2820660522202</v>
      </c>
      <c r="M2675" s="4">
        <v>1302</v>
      </c>
      <c r="Q2675" s="1" t="s">
        <v>42</v>
      </c>
      <c r="S2675" s="1" t="s">
        <v>42</v>
      </c>
      <c r="T2675" s="1" t="s">
        <v>203</v>
      </c>
      <c r="AA2675" s="1">
        <v>2899921.25</v>
      </c>
      <c r="AB2675" s="1" t="s">
        <v>2062</v>
      </c>
      <c r="AC2675" s="5">
        <v>43383</v>
      </c>
      <c r="AF2675" s="1">
        <v>10016</v>
      </c>
      <c r="AI2675" s="1" t="s">
        <v>166</v>
      </c>
      <c r="AJ2675" s="1">
        <v>2018</v>
      </c>
      <c r="AK2675" s="1" t="s">
        <v>55</v>
      </c>
      <c r="AL2675" s="1">
        <v>74</v>
      </c>
    </row>
    <row r="2676" spans="1:38" x14ac:dyDescent="0.2">
      <c r="A2676" s="2" t="str">
        <f>HYPERLINK("https://www.compass.com/listing/242-broome-street-unit-6d-manhattan-ny-10002/102552851913390993/","242 Broome St, Unit 6D")</f>
        <v>242 Broome St, Unit 6D</v>
      </c>
      <c r="B2676" s="2" t="str">
        <f t="shared" ref="B2676:B2677" si="428">HYPERLINK("https://www.compass.com/building/242-broome-essex-crossing-manhattan-ny/292776610392708181/","242 Broome, Essex Crossing")</f>
        <v>242 Broome, Essex Crossing</v>
      </c>
      <c r="C2676" s="1" t="s">
        <v>84</v>
      </c>
      <c r="D2676" s="1" t="s">
        <v>41</v>
      </c>
      <c r="E2676" s="3">
        <v>339098</v>
      </c>
      <c r="F2676" s="1">
        <v>314.85425255338902</v>
      </c>
      <c r="M2676" s="4">
        <v>1077</v>
      </c>
      <c r="Q2676" s="1" t="s">
        <v>42</v>
      </c>
      <c r="S2676" s="1" t="s">
        <v>42</v>
      </c>
      <c r="T2676" s="1" t="s">
        <v>203</v>
      </c>
      <c r="AA2676" s="1">
        <v>339098.03</v>
      </c>
      <c r="AB2676" s="1" t="s">
        <v>2063</v>
      </c>
      <c r="AC2676" s="5">
        <v>43384</v>
      </c>
      <c r="AF2676" s="1">
        <v>10002</v>
      </c>
      <c r="AI2676" s="1" t="s">
        <v>45</v>
      </c>
      <c r="AJ2676" s="1">
        <v>2018</v>
      </c>
      <c r="AK2676" s="1" t="s">
        <v>50</v>
      </c>
      <c r="AL2676" s="1">
        <v>55</v>
      </c>
    </row>
    <row r="2677" spans="1:38" x14ac:dyDescent="0.2">
      <c r="A2677" s="2" t="str">
        <f>HYPERLINK("https://www.compass.com/listing/242-broome-street-unit-7f-manhattan-ny-10002/102552853171685505/","242 Broome St, Unit 7F")</f>
        <v>242 Broome St, Unit 7F</v>
      </c>
      <c r="B2677" s="2" t="str">
        <f t="shared" si="428"/>
        <v>242 Broome, Essex Crossing</v>
      </c>
      <c r="C2677" s="1" t="s">
        <v>84</v>
      </c>
      <c r="D2677" s="1" t="s">
        <v>41</v>
      </c>
      <c r="E2677" s="3">
        <v>230760</v>
      </c>
      <c r="F2677" s="1">
        <v>368.62557507987202</v>
      </c>
      <c r="M2677" s="1">
        <v>626</v>
      </c>
      <c r="Q2677" s="1" t="s">
        <v>42</v>
      </c>
      <c r="S2677" s="1" t="s">
        <v>42</v>
      </c>
      <c r="T2677" s="1" t="s">
        <v>203</v>
      </c>
      <c r="AA2677" s="1">
        <v>230759.61</v>
      </c>
      <c r="AB2677" s="1" t="s">
        <v>2064</v>
      </c>
      <c r="AC2677" s="5">
        <v>43378</v>
      </c>
      <c r="AF2677" s="1">
        <v>10002</v>
      </c>
      <c r="AI2677" s="1" t="s">
        <v>45</v>
      </c>
      <c r="AJ2677" s="1">
        <v>2018</v>
      </c>
      <c r="AK2677" s="1" t="s">
        <v>50</v>
      </c>
      <c r="AL2677" s="1">
        <v>55</v>
      </c>
    </row>
    <row r="2678" spans="1:38" x14ac:dyDescent="0.2">
      <c r="A2678" s="2" t="str">
        <f>HYPERLINK("https://www.compass.com/listing/200-east-21st-street-unit-19b-manhattan-ny-10010/104366068482478865/","200 E 21st St, Unit 19B")</f>
        <v>200 E 21st St, Unit 19B</v>
      </c>
      <c r="B2678" s="2" t="str">
        <f>HYPERLINK("https://www.compass.com/building/200-east-21st-street-manhattan-ny/292796762689658005/","200 East 21st Street")</f>
        <v>200 East 21st Street</v>
      </c>
      <c r="C2678" s="1" t="s">
        <v>101</v>
      </c>
      <c r="D2678" s="1" t="s">
        <v>41</v>
      </c>
      <c r="E2678" s="3">
        <v>5310174</v>
      </c>
      <c r="F2678" s="1">
        <v>2549.29128660585</v>
      </c>
      <c r="G2678" s="1">
        <v>4</v>
      </c>
      <c r="H2678" s="1">
        <v>2</v>
      </c>
      <c r="I2678" s="1">
        <v>3</v>
      </c>
      <c r="J2678" s="1">
        <v>2.5</v>
      </c>
      <c r="K2678" s="1">
        <v>2</v>
      </c>
      <c r="L2678" s="1">
        <v>1</v>
      </c>
      <c r="M2678" s="4">
        <v>2083</v>
      </c>
      <c r="N2678" s="1">
        <v>2188</v>
      </c>
      <c r="O2678" s="1">
        <v>6285</v>
      </c>
      <c r="P2678" s="1">
        <v>4097</v>
      </c>
      <c r="Q2678" s="1" t="s">
        <v>42</v>
      </c>
      <c r="S2678" s="1" t="s">
        <v>42</v>
      </c>
      <c r="T2678" s="1" t="s">
        <v>203</v>
      </c>
      <c r="V2678" s="5">
        <v>43694</v>
      </c>
      <c r="W2678" s="5">
        <v>43396</v>
      </c>
      <c r="X2678" s="1">
        <v>5495000</v>
      </c>
      <c r="Y2678" s="1">
        <v>5495000</v>
      </c>
      <c r="Z2678" s="5">
        <v>43396</v>
      </c>
      <c r="AA2678" s="1">
        <v>5310173.75</v>
      </c>
      <c r="AB2678" s="1" t="s">
        <v>2065</v>
      </c>
      <c r="AC2678" s="5">
        <v>43635</v>
      </c>
      <c r="AF2678" s="1">
        <v>10010</v>
      </c>
      <c r="AI2678" s="1" t="s">
        <v>102</v>
      </c>
      <c r="AJ2678" s="1">
        <v>2018</v>
      </c>
      <c r="AK2678" s="1" t="s">
        <v>55</v>
      </c>
      <c r="AL2678" s="1">
        <v>67</v>
      </c>
    </row>
    <row r="2679" spans="1:38" x14ac:dyDescent="0.2">
      <c r="A2679" s="2" t="str">
        <f>HYPERLINK("https://www.compass.com/listing/591-3rd-avenue-unit-7c-manhattan-ny-10016/104748291220142497/","591 3rd Ave, Unit 7C")</f>
        <v>591 3rd Ave, Unit 7C</v>
      </c>
      <c r="B2679" s="2" t="str">
        <f>HYPERLINK("https://www.compass.com/building/the-lindley-manhattan-ny/282058799928343829/","The Lindley")</f>
        <v>The Lindley</v>
      </c>
      <c r="C2679" s="1" t="s">
        <v>165</v>
      </c>
      <c r="D2679" s="1" t="s">
        <v>41</v>
      </c>
      <c r="E2679" s="3">
        <v>1405185</v>
      </c>
      <c r="F2679" s="1">
        <v>1796.9117647058799</v>
      </c>
      <c r="M2679" s="1">
        <v>782</v>
      </c>
      <c r="Q2679" s="1" t="s">
        <v>42</v>
      </c>
      <c r="S2679" s="1" t="s">
        <v>42</v>
      </c>
      <c r="T2679" s="1" t="s">
        <v>203</v>
      </c>
      <c r="AA2679" s="1">
        <v>1405185</v>
      </c>
      <c r="AB2679" s="1" t="s">
        <v>2066</v>
      </c>
      <c r="AC2679" s="5">
        <v>43388</v>
      </c>
      <c r="AF2679" s="1">
        <v>10016</v>
      </c>
      <c r="AI2679" s="1" t="s">
        <v>166</v>
      </c>
      <c r="AJ2679" s="1">
        <v>2018</v>
      </c>
      <c r="AK2679" s="1" t="s">
        <v>55</v>
      </c>
      <c r="AL2679" s="1">
        <v>74</v>
      </c>
    </row>
    <row r="2680" spans="1:38" x14ac:dyDescent="0.2">
      <c r="A2680" s="2" t="str">
        <f>HYPERLINK("https://www.compass.com/listing/242-broome-street-unit-7b-manhattan-ny-10002/105451457116969041/","242 Broome St, Unit 7B")</f>
        <v>242 Broome St, Unit 7B</v>
      </c>
      <c r="B2680" s="2" t="str">
        <f t="shared" ref="B2680:B2681" si="429">HYPERLINK("https://www.compass.com/building/242-broome-essex-crossing-manhattan-ny/292776610392708181/","242 Broome, Essex Crossing")</f>
        <v>242 Broome, Essex Crossing</v>
      </c>
      <c r="C2680" s="1" t="s">
        <v>84</v>
      </c>
      <c r="D2680" s="1" t="s">
        <v>41</v>
      </c>
      <c r="E2680" s="3">
        <v>284390</v>
      </c>
      <c r="F2680" s="1">
        <v>314.24254143646402</v>
      </c>
      <c r="M2680" s="1">
        <v>905</v>
      </c>
      <c r="Q2680" s="1" t="s">
        <v>42</v>
      </c>
      <c r="S2680" s="1" t="s">
        <v>42</v>
      </c>
      <c r="T2680" s="1" t="s">
        <v>203</v>
      </c>
      <c r="AA2680" s="1">
        <v>284389.5</v>
      </c>
      <c r="AB2680" s="1" t="s">
        <v>2067</v>
      </c>
      <c r="AC2680" s="5">
        <v>43371</v>
      </c>
      <c r="AF2680" s="1">
        <v>10002</v>
      </c>
      <c r="AI2680" s="1" t="s">
        <v>45</v>
      </c>
      <c r="AJ2680" s="1">
        <v>2018</v>
      </c>
      <c r="AK2680" s="1" t="s">
        <v>50</v>
      </c>
      <c r="AL2680" s="1">
        <v>55</v>
      </c>
    </row>
    <row r="2681" spans="1:38" x14ac:dyDescent="0.2">
      <c r="A2681" s="2" t="str">
        <f>HYPERLINK("https://www.compass.com/listing/242-broome-street-unit-7g-manhattan-ny-10002/105451458492647281/","242 Broome St, Unit 7G")</f>
        <v>242 Broome St, Unit 7G</v>
      </c>
      <c r="B2681" s="2" t="str">
        <f t="shared" si="429"/>
        <v>242 Broome, Essex Crossing</v>
      </c>
      <c r="C2681" s="1" t="s">
        <v>84</v>
      </c>
      <c r="D2681" s="1" t="s">
        <v>41</v>
      </c>
      <c r="E2681" s="3">
        <v>230760</v>
      </c>
      <c r="F2681" s="1">
        <v>333.46764450866999</v>
      </c>
      <c r="M2681" s="1">
        <v>692</v>
      </c>
      <c r="Q2681" s="1" t="s">
        <v>42</v>
      </c>
      <c r="S2681" s="1" t="s">
        <v>42</v>
      </c>
      <c r="T2681" s="1" t="s">
        <v>203</v>
      </c>
      <c r="AA2681" s="1">
        <v>230759.61</v>
      </c>
      <c r="AB2681" s="1" t="s">
        <v>2068</v>
      </c>
      <c r="AC2681" s="5">
        <v>43385</v>
      </c>
      <c r="AF2681" s="1">
        <v>10002</v>
      </c>
      <c r="AI2681" s="1" t="s">
        <v>45</v>
      </c>
      <c r="AJ2681" s="1">
        <v>2018</v>
      </c>
      <c r="AK2681" s="1" t="s">
        <v>50</v>
      </c>
      <c r="AL2681" s="1">
        <v>55</v>
      </c>
    </row>
    <row r="2682" spans="1:38" x14ac:dyDescent="0.2">
      <c r="A2682" s="2" t="str">
        <f>HYPERLINK("https://www.compass.com/listing/591-3rd-avenue-unit-8a-manhattan-ny-10016/106198200901217969/","591 3rd Ave, Unit 8A")</f>
        <v>591 3rd Ave, Unit 8A</v>
      </c>
      <c r="B2682" s="2" t="str">
        <f>HYPERLINK("https://www.compass.com/building/the-lindley-manhattan-ny/282058799928343829/","The Lindley")</f>
        <v>The Lindley</v>
      </c>
      <c r="C2682" s="1" t="s">
        <v>165</v>
      </c>
      <c r="D2682" s="1" t="s">
        <v>41</v>
      </c>
      <c r="E2682" s="3">
        <v>1471371</v>
      </c>
      <c r="F2682" s="1">
        <v>1967.0738636363601</v>
      </c>
      <c r="M2682" s="1">
        <v>748</v>
      </c>
      <c r="Q2682" s="1" t="s">
        <v>42</v>
      </c>
      <c r="S2682" s="1" t="s">
        <v>42</v>
      </c>
      <c r="T2682" s="1" t="s">
        <v>203</v>
      </c>
      <c r="AA2682" s="1">
        <v>1471371.25</v>
      </c>
      <c r="AB2682" s="1" t="s">
        <v>2069</v>
      </c>
      <c r="AC2682" s="5">
        <v>43388</v>
      </c>
      <c r="AF2682" s="1">
        <v>10016</v>
      </c>
      <c r="AI2682" s="1" t="s">
        <v>166</v>
      </c>
      <c r="AJ2682" s="1">
        <v>2018</v>
      </c>
      <c r="AK2682" s="1" t="s">
        <v>55</v>
      </c>
      <c r="AL2682" s="1">
        <v>74</v>
      </c>
    </row>
    <row r="2683" spans="1:38" x14ac:dyDescent="0.2">
      <c r="A2683" s="2" t="str">
        <f>HYPERLINK("https://www.compass.com/listing/264-water-street-unit-2a-manhattan-ny-10038/110522885260569553/","264 Water St, Unit 2A")</f>
        <v>264 Water St, Unit 2A</v>
      </c>
      <c r="B2683" s="2" t="str">
        <f>HYPERLINK("https://www.compass.com/building/264-water-st-manhattan-ny-10038/820452910768211061/","264 Water St")</f>
        <v>264 Water St</v>
      </c>
      <c r="C2683" s="1" t="s">
        <v>155</v>
      </c>
      <c r="D2683" s="1" t="s">
        <v>41</v>
      </c>
      <c r="E2683" s="3">
        <v>1400000</v>
      </c>
      <c r="F2683" s="1">
        <v>1063.02201974183</v>
      </c>
      <c r="M2683" s="4">
        <v>1317</v>
      </c>
      <c r="Q2683" s="1" t="s">
        <v>42</v>
      </c>
      <c r="S2683" s="1" t="s">
        <v>42</v>
      </c>
      <c r="T2683" s="1" t="s">
        <v>203</v>
      </c>
      <c r="AA2683" s="1">
        <v>1400000</v>
      </c>
      <c r="AB2683" s="1" t="s">
        <v>2070</v>
      </c>
      <c r="AC2683" s="5">
        <v>43392</v>
      </c>
      <c r="AF2683" s="1">
        <v>10038</v>
      </c>
      <c r="AJ2683" s="1">
        <v>1900</v>
      </c>
      <c r="AL2683" s="1">
        <v>27</v>
      </c>
    </row>
    <row r="2684" spans="1:38" x14ac:dyDescent="0.2">
      <c r="A2684" s="2" t="str">
        <f>HYPERLINK("https://www.compass.com/listing/591-3rd-avenue-unit-6e-manhattan-ny-10016/110547404171780593/","591 3rd Ave, Unit 6E")</f>
        <v>591 3rd Ave, Unit 6E</v>
      </c>
      <c r="B2684" s="2" t="str">
        <f t="shared" ref="B2684:B2687" si="430">HYPERLINK("https://www.compass.com/building/the-lindley-manhattan-ny/282058799928343829/","The Lindley")</f>
        <v>The Lindley</v>
      </c>
      <c r="C2684" s="1" t="s">
        <v>165</v>
      </c>
      <c r="D2684" s="1" t="s">
        <v>41</v>
      </c>
      <c r="E2684" s="3">
        <v>960155</v>
      </c>
      <c r="F2684" s="1">
        <v>1630.14431239388</v>
      </c>
      <c r="M2684" s="1">
        <v>589</v>
      </c>
      <c r="Q2684" s="1" t="s">
        <v>42</v>
      </c>
      <c r="S2684" s="1" t="s">
        <v>42</v>
      </c>
      <c r="T2684" s="1" t="s">
        <v>203</v>
      </c>
      <c r="AA2684" s="1">
        <v>960155</v>
      </c>
      <c r="AB2684" s="1" t="s">
        <v>2071</v>
      </c>
      <c r="AC2684" s="5">
        <v>43392</v>
      </c>
      <c r="AF2684" s="1">
        <v>10016</v>
      </c>
      <c r="AI2684" s="1" t="s">
        <v>166</v>
      </c>
      <c r="AJ2684" s="1">
        <v>2018</v>
      </c>
      <c r="AK2684" s="1" t="s">
        <v>55</v>
      </c>
      <c r="AL2684" s="1">
        <v>74</v>
      </c>
    </row>
    <row r="2685" spans="1:38" x14ac:dyDescent="0.2">
      <c r="A2685" s="2" t="str">
        <f>HYPERLINK("https://www.compass.com/listing/591-3rd-avenue-unit-20c-manhattan-ny-10016/110547411629339329/","591 3rd Ave, Unit 20C")</f>
        <v>591 3rd Ave, Unit 20C</v>
      </c>
      <c r="B2685" s="2" t="str">
        <f t="shared" si="430"/>
        <v>The Lindley</v>
      </c>
      <c r="C2685" s="1" t="s">
        <v>165</v>
      </c>
      <c r="D2685" s="1" t="s">
        <v>41</v>
      </c>
      <c r="E2685" s="3">
        <v>1761573</v>
      </c>
      <c r="F2685" s="1">
        <v>1999.5147559591301</v>
      </c>
      <c r="M2685" s="1">
        <v>881</v>
      </c>
      <c r="Q2685" s="1" t="s">
        <v>42</v>
      </c>
      <c r="S2685" s="1" t="s">
        <v>42</v>
      </c>
      <c r="T2685" s="1" t="s">
        <v>203</v>
      </c>
      <c r="AA2685" s="1">
        <v>1761572.5</v>
      </c>
      <c r="AB2685" s="1" t="s">
        <v>2072</v>
      </c>
      <c r="AC2685" s="5">
        <v>43397</v>
      </c>
      <c r="AF2685" s="1">
        <v>10016</v>
      </c>
      <c r="AI2685" s="1" t="s">
        <v>166</v>
      </c>
      <c r="AJ2685" s="1">
        <v>2018</v>
      </c>
      <c r="AK2685" s="1" t="s">
        <v>55</v>
      </c>
      <c r="AL2685" s="1">
        <v>74</v>
      </c>
    </row>
    <row r="2686" spans="1:38" x14ac:dyDescent="0.2">
      <c r="A2686" s="2" t="str">
        <f>HYPERLINK("https://www.compass.com/listing/591-3rd-avenue-unit-11b-manhattan-ny-10016/111993335052273537/","591 3rd Ave, Unit 11B")</f>
        <v>591 3rd Ave, Unit 11B</v>
      </c>
      <c r="B2686" s="2" t="str">
        <f t="shared" si="430"/>
        <v>The Lindley</v>
      </c>
      <c r="C2686" s="1" t="s">
        <v>165</v>
      </c>
      <c r="D2686" s="1" t="s">
        <v>41</v>
      </c>
      <c r="E2686" s="3">
        <v>2423435</v>
      </c>
      <c r="F2686" s="1">
        <v>1893.30859375</v>
      </c>
      <c r="M2686" s="4">
        <v>1280</v>
      </c>
      <c r="Q2686" s="1" t="s">
        <v>42</v>
      </c>
      <c r="S2686" s="1" t="s">
        <v>42</v>
      </c>
      <c r="T2686" s="1" t="s">
        <v>203</v>
      </c>
      <c r="AA2686" s="1">
        <v>2423435</v>
      </c>
      <c r="AB2686" s="1" t="s">
        <v>2073</v>
      </c>
      <c r="AC2686" s="5">
        <v>43392</v>
      </c>
      <c r="AF2686" s="1">
        <v>10016</v>
      </c>
      <c r="AI2686" s="1" t="s">
        <v>166</v>
      </c>
      <c r="AJ2686" s="1">
        <v>2018</v>
      </c>
      <c r="AK2686" s="1" t="s">
        <v>55</v>
      </c>
      <c r="AL2686" s="1">
        <v>74</v>
      </c>
    </row>
    <row r="2687" spans="1:38" x14ac:dyDescent="0.2">
      <c r="A2687" s="2" t="str">
        <f>HYPERLINK("https://www.compass.com/listing/591-3rd-avenue-unit-9d-manhattan-ny-10016/112718746270852081/","591 3rd Ave, Unit 9D")</f>
        <v>591 3rd Ave, Unit 9D</v>
      </c>
      <c r="B2687" s="2" t="str">
        <f t="shared" si="430"/>
        <v>The Lindley</v>
      </c>
      <c r="C2687" s="1" t="s">
        <v>165</v>
      </c>
      <c r="D2687" s="1" t="s">
        <v>41</v>
      </c>
      <c r="E2687" s="3">
        <v>1408185</v>
      </c>
      <c r="F2687" s="1">
        <v>1910.6987788331001</v>
      </c>
      <c r="M2687" s="1">
        <v>737</v>
      </c>
      <c r="Q2687" s="1" t="s">
        <v>42</v>
      </c>
      <c r="S2687" s="1" t="s">
        <v>42</v>
      </c>
      <c r="T2687" s="1" t="s">
        <v>203</v>
      </c>
      <c r="AA2687" s="1">
        <v>1408185</v>
      </c>
      <c r="AB2687" s="1" t="s">
        <v>2074</v>
      </c>
      <c r="AC2687" s="5">
        <v>43403</v>
      </c>
      <c r="AF2687" s="1">
        <v>10016</v>
      </c>
      <c r="AI2687" s="1" t="s">
        <v>166</v>
      </c>
      <c r="AJ2687" s="1">
        <v>2018</v>
      </c>
      <c r="AK2687" s="1" t="s">
        <v>55</v>
      </c>
      <c r="AL2687" s="1">
        <v>74</v>
      </c>
    </row>
    <row r="2688" spans="1:38" x14ac:dyDescent="0.2">
      <c r="A2688" s="2" t="str">
        <f>HYPERLINK("https://www.compass.com/listing/340-west-72nd-street-unit-308-manhattan-ny-10023/114914564566493729/","340 W 72nd St, Unit 308")</f>
        <v>340 W 72nd St, Unit 308</v>
      </c>
      <c r="B2688" s="2" t="str">
        <f>HYPERLINK("https://www.compass.com/building/the-chatsworth-annex-manhattan-ny/281960253094963669/","The Chatsworth Annex")</f>
        <v>The Chatsworth Annex</v>
      </c>
      <c r="C2688" s="1" t="s">
        <v>47</v>
      </c>
      <c r="D2688" s="1" t="s">
        <v>41</v>
      </c>
      <c r="E2688" s="3">
        <v>1672842</v>
      </c>
      <c r="Q2688" s="1" t="s">
        <v>191</v>
      </c>
      <c r="S2688" s="1" t="s">
        <v>191</v>
      </c>
      <c r="T2688" s="1" t="s">
        <v>203</v>
      </c>
      <c r="AA2688" s="1">
        <v>1672841.97</v>
      </c>
      <c r="AB2688" s="1" t="s">
        <v>2075</v>
      </c>
      <c r="AC2688" s="5">
        <v>43405</v>
      </c>
      <c r="AF2688" s="1">
        <v>10023</v>
      </c>
      <c r="AJ2688" s="1">
        <v>1920</v>
      </c>
      <c r="AL2688" s="1">
        <v>23</v>
      </c>
    </row>
    <row r="2689" spans="1:38" x14ac:dyDescent="0.2">
      <c r="A2689" s="2" t="str">
        <f>HYPERLINK("https://www.compass.com/listing/242-broome-street-unit-6f-manhattan-ny-10002/116353820967156961/","242 Broome St, Unit 6F")</f>
        <v>242 Broome St, Unit 6F</v>
      </c>
      <c r="B2689" s="2" t="str">
        <f>HYPERLINK("https://www.compass.com/building/242-broome-essex-crossing-manhattan-ny/292776610392708181/","242 Broome, Essex Crossing")</f>
        <v>242 Broome, Essex Crossing</v>
      </c>
      <c r="C2689" s="1" t="s">
        <v>84</v>
      </c>
      <c r="D2689" s="1" t="s">
        <v>41</v>
      </c>
      <c r="E2689" s="3">
        <v>230760</v>
      </c>
      <c r="F2689" s="1">
        <v>311.416477732793</v>
      </c>
      <c r="M2689" s="1">
        <v>741</v>
      </c>
      <c r="Q2689" s="1" t="s">
        <v>42</v>
      </c>
      <c r="S2689" s="1" t="s">
        <v>42</v>
      </c>
      <c r="T2689" s="1" t="s">
        <v>203</v>
      </c>
      <c r="AA2689" s="1">
        <v>230759.61</v>
      </c>
      <c r="AB2689" s="1" t="s">
        <v>2076</v>
      </c>
      <c r="AC2689" s="5">
        <v>43397</v>
      </c>
      <c r="AF2689" s="1">
        <v>10002</v>
      </c>
      <c r="AI2689" s="1" t="s">
        <v>45</v>
      </c>
      <c r="AJ2689" s="1">
        <v>2018</v>
      </c>
      <c r="AK2689" s="1" t="s">
        <v>50</v>
      </c>
      <c r="AL2689" s="1">
        <v>55</v>
      </c>
    </row>
    <row r="2690" spans="1:38" x14ac:dyDescent="0.2">
      <c r="A2690" s="2" t="str">
        <f>HYPERLINK("https://www.compass.com/listing/301-west-53rd-street-unit-21b-manhattan-ny-10019/116380302108120977/","301 W 53rd St, Unit 21B")</f>
        <v>301 W 53rd St, Unit 21B</v>
      </c>
      <c r="B2690" s="2" t="str">
        <f>HYPERLINK("https://www.compass.com/building/fifty-third-and-eighth-manhattan-ny/281944545158031557/","Fifty Third and Eighth")</f>
        <v>Fifty Third and Eighth</v>
      </c>
      <c r="C2690" s="1" t="s">
        <v>57</v>
      </c>
      <c r="D2690" s="1" t="s">
        <v>41</v>
      </c>
      <c r="E2690" s="3">
        <v>1313129</v>
      </c>
      <c r="F2690" s="1">
        <v>1649.6590075376801</v>
      </c>
      <c r="M2690" s="1">
        <v>796</v>
      </c>
      <c r="Q2690" s="1" t="s">
        <v>42</v>
      </c>
      <c r="S2690" s="1" t="s">
        <v>42</v>
      </c>
      <c r="T2690" s="1" t="s">
        <v>203</v>
      </c>
      <c r="AA2690" s="1">
        <v>1313128.57</v>
      </c>
      <c r="AB2690" s="1" t="s">
        <v>2077</v>
      </c>
      <c r="AC2690" s="5">
        <v>43398</v>
      </c>
      <c r="AF2690" s="1">
        <v>10019</v>
      </c>
      <c r="AI2690" s="1" t="s">
        <v>76</v>
      </c>
      <c r="AJ2690" s="1">
        <v>2017</v>
      </c>
      <c r="AK2690" s="1" t="s">
        <v>50</v>
      </c>
      <c r="AL2690" s="1">
        <v>248</v>
      </c>
    </row>
    <row r="2691" spans="1:38" x14ac:dyDescent="0.2">
      <c r="A2691" s="2" t="str">
        <f>HYPERLINK("https://www.compass.com/listing/591-3rd-avenue-unit-3a-manhattan-ny-10016/117306816882284881/","591 3rd Ave, Unit 3A")</f>
        <v>591 3rd Ave, Unit 3A</v>
      </c>
      <c r="B2691" s="2" t="str">
        <f t="shared" ref="B2691:B2693" si="431">HYPERLINK("https://www.compass.com/building/the-lindley-manhattan-ny/282058799928343829/","The Lindley")</f>
        <v>The Lindley</v>
      </c>
      <c r="C2691" s="1" t="s">
        <v>165</v>
      </c>
      <c r="D2691" s="1" t="s">
        <v>41</v>
      </c>
      <c r="E2691" s="3">
        <v>1525284</v>
      </c>
      <c r="H2691" s="1" t="s">
        <v>77</v>
      </c>
      <c r="Q2691" s="1" t="s">
        <v>42</v>
      </c>
      <c r="S2691" s="1" t="s">
        <v>42</v>
      </c>
      <c r="T2691" s="1" t="s">
        <v>203</v>
      </c>
      <c r="U2691" s="1">
        <v>7</v>
      </c>
      <c r="V2691" s="5">
        <v>43429</v>
      </c>
      <c r="W2691" s="5">
        <v>43414</v>
      </c>
      <c r="X2691" s="1">
        <v>1495000</v>
      </c>
      <c r="Y2691" s="1">
        <v>1495000</v>
      </c>
      <c r="Z2691" s="5">
        <v>43414</v>
      </c>
      <c r="AA2691" s="1">
        <v>1525283.75</v>
      </c>
      <c r="AB2691" s="1" t="s">
        <v>2078</v>
      </c>
      <c r="AC2691" s="5">
        <v>43418</v>
      </c>
      <c r="AF2691" s="1">
        <v>10016</v>
      </c>
      <c r="AI2691" s="1" t="s">
        <v>166</v>
      </c>
      <c r="AJ2691" s="1">
        <v>2018</v>
      </c>
      <c r="AK2691" s="1" t="s">
        <v>55</v>
      </c>
      <c r="AL2691" s="1">
        <v>74</v>
      </c>
    </row>
    <row r="2692" spans="1:38" x14ac:dyDescent="0.2">
      <c r="A2692" s="2" t="str">
        <f>HYPERLINK("https://www.compass.com/listing/591-3rd-avenue-unit-4b-manhattan-ny-10016/125058231587368993/","591 3rd Ave, Unit 4B")</f>
        <v>591 3rd Ave, Unit 4B</v>
      </c>
      <c r="B2692" s="2" t="str">
        <f t="shared" si="431"/>
        <v>The Lindley</v>
      </c>
      <c r="C2692" s="1" t="s">
        <v>165</v>
      </c>
      <c r="D2692" s="1" t="s">
        <v>41</v>
      </c>
      <c r="E2692" s="3">
        <v>1321634</v>
      </c>
      <c r="F2692" s="1">
        <v>1711.9608160621699</v>
      </c>
      <c r="M2692" s="1">
        <v>772</v>
      </c>
      <c r="Q2692" s="1" t="s">
        <v>42</v>
      </c>
      <c r="S2692" s="1" t="s">
        <v>42</v>
      </c>
      <c r="T2692" s="1" t="s">
        <v>203</v>
      </c>
      <c r="AA2692" s="1">
        <v>1321633.75</v>
      </c>
      <c r="AB2692" s="1" t="s">
        <v>2079</v>
      </c>
      <c r="AC2692" s="5">
        <v>43418</v>
      </c>
      <c r="AF2692" s="1">
        <v>10016</v>
      </c>
      <c r="AI2692" s="1" t="s">
        <v>166</v>
      </c>
      <c r="AJ2692" s="1">
        <v>2018</v>
      </c>
      <c r="AK2692" s="1" t="s">
        <v>55</v>
      </c>
      <c r="AL2692" s="1">
        <v>74</v>
      </c>
    </row>
    <row r="2693" spans="1:38" x14ac:dyDescent="0.2">
      <c r="A2693" s="2" t="str">
        <f>HYPERLINK("https://www.compass.com/listing/591-3rd-avenue-unit-8d-manhattan-ny-10016/125058238516359345/","591 3rd Ave, Unit 8D")</f>
        <v>591 3rd Ave, Unit 8D</v>
      </c>
      <c r="B2693" s="2" t="str">
        <f t="shared" si="431"/>
        <v>The Lindley</v>
      </c>
      <c r="C2693" s="1" t="s">
        <v>165</v>
      </c>
      <c r="D2693" s="1" t="s">
        <v>41</v>
      </c>
      <c r="E2693" s="3">
        <v>1362364</v>
      </c>
      <c r="F2693" s="1">
        <v>1848.5261194029799</v>
      </c>
      <c r="M2693" s="1">
        <v>737</v>
      </c>
      <c r="Q2693" s="1" t="s">
        <v>42</v>
      </c>
      <c r="S2693" s="1" t="s">
        <v>42</v>
      </c>
      <c r="T2693" s="1" t="s">
        <v>203</v>
      </c>
      <c r="AA2693" s="1">
        <v>1362363.75</v>
      </c>
      <c r="AB2693" s="1" t="s">
        <v>2080</v>
      </c>
      <c r="AC2693" s="5">
        <v>43409</v>
      </c>
      <c r="AF2693" s="1">
        <v>10016</v>
      </c>
      <c r="AI2693" s="1" t="s">
        <v>166</v>
      </c>
      <c r="AJ2693" s="1">
        <v>2018</v>
      </c>
      <c r="AK2693" s="1" t="s">
        <v>55</v>
      </c>
      <c r="AL2693" s="1">
        <v>74</v>
      </c>
    </row>
    <row r="2694" spans="1:38" x14ac:dyDescent="0.2">
      <c r="A2694" s="2" t="str">
        <f>HYPERLINK("https://www.compass.com/listing/360-central-park-west-unit-7k-manhattan-ny-10025/125075045612552305/","360 Central Park W, Unit 7K")</f>
        <v>360 Central Park W, Unit 7K</v>
      </c>
      <c r="B2694" s="2" t="str">
        <f t="shared" ref="B2694:B2695" si="432">HYPERLINK("https://www.compass.com/building/360-central-park-west-manhattan-ny/281971555427243781/","360 Central Park West")</f>
        <v>360 Central Park West</v>
      </c>
      <c r="C2694" s="1" t="s">
        <v>47</v>
      </c>
      <c r="D2694" s="1" t="s">
        <v>41</v>
      </c>
      <c r="E2694" s="3">
        <v>817655</v>
      </c>
      <c r="F2694" s="1">
        <v>676.306658395368</v>
      </c>
      <c r="M2694" s="4">
        <v>1209</v>
      </c>
      <c r="Q2694" s="1" t="s">
        <v>42</v>
      </c>
      <c r="S2694" s="1" t="s">
        <v>42</v>
      </c>
      <c r="T2694" s="1" t="s">
        <v>203</v>
      </c>
      <c r="AA2694" s="1">
        <v>817654.75</v>
      </c>
      <c r="AB2694" s="1" t="s">
        <v>2081</v>
      </c>
      <c r="AC2694" s="5">
        <v>43405</v>
      </c>
      <c r="AF2694" s="1">
        <v>10025</v>
      </c>
      <c r="AJ2694" s="1">
        <v>1929</v>
      </c>
      <c r="AK2694" s="1" t="s">
        <v>55</v>
      </c>
      <c r="AL2694" s="1">
        <v>126</v>
      </c>
    </row>
    <row r="2695" spans="1:38" x14ac:dyDescent="0.2">
      <c r="A2695" s="2" t="str">
        <f>HYPERLINK("https://www.compass.com/listing/360-central-park-west-unit-5j-manhattan-ny-10025/125075052801570945/","360 Central Park W, Unit 5J")</f>
        <v>360 Central Park W, Unit 5J</v>
      </c>
      <c r="B2695" s="2" t="str">
        <f t="shared" si="432"/>
        <v>360 Central Park West</v>
      </c>
      <c r="C2695" s="1" t="s">
        <v>47</v>
      </c>
      <c r="D2695" s="1" t="s">
        <v>41</v>
      </c>
      <c r="E2695" s="3">
        <v>967338</v>
      </c>
      <c r="F2695" s="1">
        <v>1158.4880239520901</v>
      </c>
      <c r="M2695" s="1">
        <v>835</v>
      </c>
      <c r="Q2695" s="1" t="s">
        <v>42</v>
      </c>
      <c r="S2695" s="1" t="s">
        <v>42</v>
      </c>
      <c r="T2695" s="1" t="s">
        <v>203</v>
      </c>
      <c r="AA2695" s="1">
        <v>967337.5</v>
      </c>
      <c r="AB2695" s="1" t="s">
        <v>2082</v>
      </c>
      <c r="AC2695" s="5">
        <v>43412</v>
      </c>
      <c r="AF2695" s="1">
        <v>10025</v>
      </c>
      <c r="AJ2695" s="1">
        <v>1929</v>
      </c>
      <c r="AK2695" s="1" t="s">
        <v>55</v>
      </c>
      <c r="AL2695" s="1">
        <v>126</v>
      </c>
    </row>
    <row r="2696" spans="1:38" x14ac:dyDescent="0.2">
      <c r="A2696" s="2" t="str">
        <f>HYPERLINK("https://www.compass.com/listing/591-3rd-avenue-unit-6b-manhattan-ny-10016/130131733705131457/","591 3rd Ave, Unit 6B")</f>
        <v>591 3rd Ave, Unit 6B</v>
      </c>
      <c r="B2696" s="2" t="str">
        <f>HYPERLINK("https://www.compass.com/building/the-lindley-manhattan-ny/282058799928343829/","The Lindley")</f>
        <v>The Lindley</v>
      </c>
      <c r="C2696" s="1" t="s">
        <v>165</v>
      </c>
      <c r="D2696" s="1" t="s">
        <v>41</v>
      </c>
      <c r="E2696" s="3">
        <v>1359364</v>
      </c>
      <c r="F2696" s="1">
        <v>1738.3168158567701</v>
      </c>
      <c r="M2696" s="1">
        <v>782</v>
      </c>
      <c r="Q2696" s="1" t="s">
        <v>42</v>
      </c>
      <c r="S2696" s="1" t="s">
        <v>42</v>
      </c>
      <c r="T2696" s="1" t="s">
        <v>203</v>
      </c>
      <c r="AA2696" s="1">
        <v>1359363.75</v>
      </c>
      <c r="AB2696" s="1" t="s">
        <v>2083</v>
      </c>
      <c r="AC2696" s="5">
        <v>43419</v>
      </c>
      <c r="AF2696" s="1">
        <v>10016</v>
      </c>
      <c r="AI2696" s="1" t="s">
        <v>166</v>
      </c>
      <c r="AJ2696" s="1">
        <v>2018</v>
      </c>
      <c r="AK2696" s="1" t="s">
        <v>55</v>
      </c>
      <c r="AL2696" s="1">
        <v>74</v>
      </c>
    </row>
    <row r="2697" spans="1:38" x14ac:dyDescent="0.2">
      <c r="A2697" s="2" t="str">
        <f>HYPERLINK("https://www.compass.com/listing/242-broome-street-unit-6e-manhattan-ny-10002/136630183246556785/","242 Broome St, Unit 6E")</f>
        <v>242 Broome St, Unit 6E</v>
      </c>
      <c r="B2697" s="2" t="str">
        <f t="shared" ref="B2697:B2698" si="433">HYPERLINK("https://www.compass.com/building/242-broome-essex-crossing-manhattan-ny/292776610392708181/","242 Broome, Essex Crossing")</f>
        <v>242 Broome, Essex Crossing</v>
      </c>
      <c r="C2697" s="1" t="s">
        <v>84</v>
      </c>
      <c r="D2697" s="1" t="s">
        <v>41</v>
      </c>
      <c r="E2697" s="3">
        <v>230760</v>
      </c>
      <c r="F2697" s="1">
        <v>366.86742448330602</v>
      </c>
      <c r="M2697" s="1">
        <v>629</v>
      </c>
      <c r="Q2697" s="1" t="s">
        <v>42</v>
      </c>
      <c r="S2697" s="1" t="s">
        <v>42</v>
      </c>
      <c r="T2697" s="1" t="s">
        <v>203</v>
      </c>
      <c r="AA2697" s="1">
        <v>230759.61</v>
      </c>
      <c r="AB2697" s="1" t="s">
        <v>2084</v>
      </c>
      <c r="AC2697" s="5">
        <v>43392</v>
      </c>
      <c r="AF2697" s="1">
        <v>10002</v>
      </c>
      <c r="AI2697" s="1" t="s">
        <v>45</v>
      </c>
      <c r="AJ2697" s="1">
        <v>2018</v>
      </c>
      <c r="AK2697" s="1" t="s">
        <v>50</v>
      </c>
      <c r="AL2697" s="1">
        <v>55</v>
      </c>
    </row>
    <row r="2698" spans="1:38" x14ac:dyDescent="0.2">
      <c r="A2698" s="2" t="str">
        <f>HYPERLINK("https://www.compass.com/listing/242-broome-street-unit-5c-manhattan-ny-10002/138084399890635633/","242 Broome St, Unit 5C")</f>
        <v>242 Broome St, Unit 5C</v>
      </c>
      <c r="B2698" s="2" t="str">
        <f t="shared" si="433"/>
        <v>242 Broome, Essex Crossing</v>
      </c>
      <c r="C2698" s="1" t="s">
        <v>84</v>
      </c>
      <c r="D2698" s="1" t="s">
        <v>41</v>
      </c>
      <c r="E2698" s="3">
        <v>228010</v>
      </c>
      <c r="F2698" s="1">
        <v>345.46910606060601</v>
      </c>
      <c r="M2698" s="1">
        <v>660</v>
      </c>
      <c r="Q2698" s="1" t="s">
        <v>42</v>
      </c>
      <c r="S2698" s="1" t="s">
        <v>42</v>
      </c>
      <c r="T2698" s="1" t="s">
        <v>203</v>
      </c>
      <c r="AA2698" s="1">
        <v>228009.61</v>
      </c>
      <c r="AB2698" s="1" t="s">
        <v>2085</v>
      </c>
      <c r="AC2698" s="5">
        <v>43433</v>
      </c>
      <c r="AF2698" s="1">
        <v>10002</v>
      </c>
      <c r="AI2698" s="1" t="s">
        <v>45</v>
      </c>
      <c r="AJ2698" s="1">
        <v>2018</v>
      </c>
      <c r="AK2698" s="1" t="s">
        <v>50</v>
      </c>
      <c r="AL2698" s="1">
        <v>55</v>
      </c>
    </row>
    <row r="2699" spans="1:38" x14ac:dyDescent="0.2">
      <c r="A2699" s="2" t="str">
        <f>HYPERLINK("https://www.compass.com/listing/591-3rd-avenue-unit-21a-manhattan-ny-10016/141726457935168641/","591 3rd Ave, Unit 21A")</f>
        <v>591 3rd Ave, Unit 21A</v>
      </c>
      <c r="B2699" s="2" t="str">
        <f>HYPERLINK("https://www.compass.com/building/the-lindley-manhattan-ny/282058799928343829/","The Lindley")</f>
        <v>The Lindley</v>
      </c>
      <c r="C2699" s="1" t="s">
        <v>165</v>
      </c>
      <c r="D2699" s="1" t="s">
        <v>41</v>
      </c>
      <c r="E2699" s="3">
        <v>3190122</v>
      </c>
      <c r="F2699" s="1">
        <v>2291.7543103448202</v>
      </c>
      <c r="M2699" s="4">
        <v>1392</v>
      </c>
      <c r="Q2699" s="1" t="s">
        <v>42</v>
      </c>
      <c r="S2699" s="1" t="s">
        <v>42</v>
      </c>
      <c r="T2699" s="1" t="s">
        <v>203</v>
      </c>
      <c r="AA2699" s="1">
        <v>3190122</v>
      </c>
      <c r="AB2699" s="1" t="s">
        <v>2086</v>
      </c>
      <c r="AC2699" s="5">
        <v>43440</v>
      </c>
      <c r="AF2699" s="1">
        <v>10016</v>
      </c>
      <c r="AI2699" s="1" t="s">
        <v>166</v>
      </c>
      <c r="AJ2699" s="1">
        <v>2018</v>
      </c>
      <c r="AK2699" s="1" t="s">
        <v>55</v>
      </c>
      <c r="AL2699" s="1">
        <v>74</v>
      </c>
    </row>
    <row r="2700" spans="1:38" x14ac:dyDescent="0.2">
      <c r="A2700" s="2" t="str">
        <f>HYPERLINK("https://www.compass.com/listing/275-west-10th-street-unit-mc-manhattan-ny-10014/142437857871657105/","275 W 10th St, Unit MC")</f>
        <v>275 W 10th St, Unit MC</v>
      </c>
      <c r="B2700" s="2" t="str">
        <f>HYPERLINK("https://www.compass.com/building/the-shephard-manhattan-ny/281931968864632917/","The Shephard")</f>
        <v>The Shephard</v>
      </c>
      <c r="C2700" s="1" t="s">
        <v>68</v>
      </c>
      <c r="D2700" s="1" t="s">
        <v>41</v>
      </c>
      <c r="E2700" s="3">
        <v>6307031</v>
      </c>
      <c r="F2700" s="1">
        <v>2522.8125</v>
      </c>
      <c r="M2700" s="4">
        <v>2500</v>
      </c>
      <c r="Q2700" s="1" t="s">
        <v>42</v>
      </c>
      <c r="S2700" s="1" t="s">
        <v>42</v>
      </c>
      <c r="T2700" s="1" t="s">
        <v>203</v>
      </c>
      <c r="AA2700" s="1">
        <v>6307031.25</v>
      </c>
      <c r="AB2700" s="1" t="s">
        <v>2087</v>
      </c>
      <c r="AC2700" s="5">
        <v>43441</v>
      </c>
      <c r="AF2700" s="1">
        <v>10014</v>
      </c>
      <c r="AI2700" s="1" t="s">
        <v>67</v>
      </c>
      <c r="AJ2700" s="1">
        <v>2015</v>
      </c>
      <c r="AK2700" s="1" t="s">
        <v>55</v>
      </c>
      <c r="AL2700" s="1">
        <v>38</v>
      </c>
    </row>
    <row r="2701" spans="1:38" x14ac:dyDescent="0.2">
      <c r="A2701" s="2" t="str">
        <f>HYPERLINK("https://www.compass.com/listing/301-west-53rd-street-unit-19b-manhattan-ny-10019/155502002309287857/","301 W 53rd St, Unit 19B")</f>
        <v>301 W 53rd St, Unit 19B</v>
      </c>
      <c r="B2701" s="2" t="str">
        <f>HYPERLINK("https://www.compass.com/building/fifty-third-and-eighth-manhattan-ny/281944545158031557/","Fifty Third and Eighth")</f>
        <v>Fifty Third and Eighth</v>
      </c>
      <c r="C2701" s="1" t="s">
        <v>57</v>
      </c>
      <c r="D2701" s="1" t="s">
        <v>41</v>
      </c>
      <c r="E2701" s="3">
        <v>1278850</v>
      </c>
      <c r="F2701" s="1">
        <v>1606.59511306532</v>
      </c>
      <c r="M2701" s="1">
        <v>796</v>
      </c>
      <c r="Q2701" s="1" t="s">
        <v>42</v>
      </c>
      <c r="S2701" s="1" t="s">
        <v>42</v>
      </c>
      <c r="T2701" s="1" t="s">
        <v>203</v>
      </c>
      <c r="AA2701" s="1">
        <v>1278849.71</v>
      </c>
      <c r="AB2701" s="1" t="s">
        <v>2088</v>
      </c>
      <c r="AC2701" s="5">
        <v>43445</v>
      </c>
      <c r="AF2701" s="1">
        <v>10019</v>
      </c>
      <c r="AI2701" s="1" t="s">
        <v>76</v>
      </c>
      <c r="AJ2701" s="1">
        <v>2017</v>
      </c>
      <c r="AK2701" s="1" t="s">
        <v>50</v>
      </c>
      <c r="AL2701" s="1">
        <v>248</v>
      </c>
    </row>
    <row r="2702" spans="1:38" x14ac:dyDescent="0.2">
      <c r="A2702" s="2" t="str">
        <f>HYPERLINK("https://www.compass.com/listing/70-vestry-street-unit-1a-manhattan-ny-10013/162967415477618769/","70 Vestry St, Unit 1A")</f>
        <v>70 Vestry St, Unit 1A</v>
      </c>
      <c r="B2702" s="2" t="str">
        <f>HYPERLINK("https://www.compass.com/building/70-vestry-st-manhattan-ny-10013/281921126949489413/","70 Vestry St")</f>
        <v>70 Vestry St</v>
      </c>
      <c r="C2702" s="1" t="s">
        <v>40</v>
      </c>
      <c r="D2702" s="1" t="s">
        <v>41</v>
      </c>
      <c r="E2702" s="3">
        <v>2549625</v>
      </c>
      <c r="F2702" s="1">
        <v>2226.7467248908201</v>
      </c>
      <c r="G2702" s="1">
        <v>5</v>
      </c>
      <c r="H2702" s="1">
        <v>3</v>
      </c>
      <c r="I2702" s="1">
        <v>2</v>
      </c>
      <c r="J2702" s="1">
        <v>2</v>
      </c>
      <c r="K2702" s="1">
        <v>2</v>
      </c>
      <c r="M2702" s="4">
        <v>1145</v>
      </c>
      <c r="N2702" s="1">
        <v>1931</v>
      </c>
      <c r="O2702" s="1">
        <v>3991</v>
      </c>
      <c r="P2702" s="1">
        <v>2060</v>
      </c>
      <c r="Q2702" s="1" t="s">
        <v>42</v>
      </c>
      <c r="S2702" s="1" t="s">
        <v>42</v>
      </c>
      <c r="T2702" s="1" t="s">
        <v>203</v>
      </c>
      <c r="U2702" s="1">
        <v>175</v>
      </c>
      <c r="V2702" s="5">
        <v>43477</v>
      </c>
      <c r="W2702" s="5">
        <v>43264</v>
      </c>
      <c r="X2702" s="1">
        <v>2549625</v>
      </c>
      <c r="Y2702" s="1">
        <v>2549625</v>
      </c>
      <c r="AA2702" s="1">
        <v>2549625</v>
      </c>
      <c r="AB2702" s="1" t="s">
        <v>2089</v>
      </c>
      <c r="AC2702" s="5">
        <v>43439</v>
      </c>
      <c r="AF2702" s="1">
        <v>10013</v>
      </c>
      <c r="AJ2702" s="1">
        <v>2018</v>
      </c>
      <c r="AK2702" s="1" t="s">
        <v>81</v>
      </c>
      <c r="AL2702" s="1">
        <v>46</v>
      </c>
    </row>
    <row r="2703" spans="1:38" x14ac:dyDescent="0.2">
      <c r="A2703" s="2" t="str">
        <f>HYPERLINK("https://www.compass.com/listing/200-east-21st-street-unit-ru-manhattan-ny-10010/165644179932759233/","200 E 21st St, Unit RU")</f>
        <v>200 E 21st St, Unit RU</v>
      </c>
      <c r="B2703" s="2" t="str">
        <f>HYPERLINK("https://www.compass.com/building/200-east-21st-street-manhattan-ny/292796762689658005/","200 East 21st Street")</f>
        <v>200 East 21st Street</v>
      </c>
      <c r="C2703" s="1" t="s">
        <v>101</v>
      </c>
      <c r="D2703" s="1" t="s">
        <v>41</v>
      </c>
      <c r="E2703" s="3">
        <v>74400000</v>
      </c>
      <c r="F2703" s="1">
        <v>86310.904872389699</v>
      </c>
      <c r="M2703" s="1">
        <v>862</v>
      </c>
      <c r="Q2703" s="1" t="s">
        <v>42</v>
      </c>
      <c r="S2703" s="1" t="s">
        <v>42</v>
      </c>
      <c r="T2703" s="1" t="s">
        <v>203</v>
      </c>
      <c r="V2703" s="5">
        <v>43859</v>
      </c>
      <c r="AA2703" s="1">
        <v>74400000</v>
      </c>
      <c r="AB2703" s="1" t="s">
        <v>2090</v>
      </c>
      <c r="AC2703" s="5">
        <v>43462</v>
      </c>
      <c r="AF2703" s="1">
        <v>10010</v>
      </c>
      <c r="AI2703" s="1" t="s">
        <v>769</v>
      </c>
      <c r="AJ2703" s="1">
        <v>2018</v>
      </c>
      <c r="AK2703" s="1" t="s">
        <v>55</v>
      </c>
      <c r="AL2703" s="1">
        <v>67</v>
      </c>
    </row>
    <row r="2704" spans="1:38" x14ac:dyDescent="0.2">
      <c r="A2704" s="2" t="str">
        <f>HYPERLINK("https://www.compass.com/listing/591-3rd-avenue-unit-5a-manhattan-ny-10016/167820915076335745/","591 3rd Ave, Unit 5A")</f>
        <v>591 3rd Ave, Unit 5A</v>
      </c>
      <c r="B2704" s="2" t="str">
        <f t="shared" ref="B2704:B2705" si="434">HYPERLINK("https://www.compass.com/building/the-lindley-manhattan-ny/282058799928343829/","The Lindley")</f>
        <v>The Lindley</v>
      </c>
      <c r="C2704" s="1" t="s">
        <v>165</v>
      </c>
      <c r="D2704" s="1" t="s">
        <v>41</v>
      </c>
      <c r="E2704" s="3">
        <v>1392911</v>
      </c>
      <c r="F2704" s="1">
        <v>1862.18081550802</v>
      </c>
      <c r="H2704" s="1" t="s">
        <v>77</v>
      </c>
      <c r="J2704" s="1">
        <v>1</v>
      </c>
      <c r="M2704" s="1">
        <v>748</v>
      </c>
      <c r="Q2704" s="1" t="s">
        <v>42</v>
      </c>
      <c r="S2704" s="1" t="s">
        <v>42</v>
      </c>
      <c r="T2704" s="1" t="s">
        <v>203</v>
      </c>
      <c r="AA2704" s="1">
        <v>1392911.25</v>
      </c>
      <c r="AB2704" s="1" t="s">
        <v>2091</v>
      </c>
      <c r="AC2704" s="5">
        <v>43385</v>
      </c>
      <c r="AF2704" s="1">
        <v>10016</v>
      </c>
      <c r="AI2704" s="1" t="s">
        <v>166</v>
      </c>
      <c r="AJ2704" s="1">
        <v>2018</v>
      </c>
      <c r="AK2704" s="1" t="s">
        <v>55</v>
      </c>
      <c r="AL2704" s="1">
        <v>74</v>
      </c>
    </row>
    <row r="2705" spans="1:38" x14ac:dyDescent="0.2">
      <c r="A2705" s="2" t="str">
        <f>HYPERLINK("https://www.compass.com/listing/591-3rd-avenue-unit-8c-manhattan-ny-10016/171444212552752961/","591 3rd Ave, Unit 8C")</f>
        <v>591 3rd Ave, Unit 8C</v>
      </c>
      <c r="B2705" s="2" t="str">
        <f t="shared" si="434"/>
        <v>The Lindley</v>
      </c>
      <c r="C2705" s="1" t="s">
        <v>165</v>
      </c>
      <c r="D2705" s="1" t="s">
        <v>41</v>
      </c>
      <c r="E2705" s="3">
        <v>1428550</v>
      </c>
      <c r="F2705" s="1">
        <v>1826.7902813299199</v>
      </c>
      <c r="M2705" s="1">
        <v>782</v>
      </c>
      <c r="Q2705" s="1" t="s">
        <v>42</v>
      </c>
      <c r="S2705" s="1" t="s">
        <v>42</v>
      </c>
      <c r="T2705" s="1" t="s">
        <v>203</v>
      </c>
      <c r="AA2705" s="1">
        <v>1428550</v>
      </c>
      <c r="AB2705" s="1" t="s">
        <v>2092</v>
      </c>
      <c r="AC2705" s="5">
        <v>43473</v>
      </c>
      <c r="AF2705" s="1">
        <v>10016</v>
      </c>
      <c r="AI2705" s="1" t="s">
        <v>166</v>
      </c>
      <c r="AJ2705" s="1">
        <v>2018</v>
      </c>
      <c r="AK2705" s="1" t="s">
        <v>55</v>
      </c>
      <c r="AL2705" s="1">
        <v>74</v>
      </c>
    </row>
    <row r="2706" spans="1:38" x14ac:dyDescent="0.2">
      <c r="A2706" s="2" t="str">
        <f>HYPERLINK("https://www.compass.com/listing/301-west-53rd-street-unit-24b-manhattan-ny-10019/196097701715220865/","301 W 53rd St, Unit 24B")</f>
        <v>301 W 53rd St, Unit 24B</v>
      </c>
      <c r="B2706" s="2" t="str">
        <f>HYPERLINK("https://www.compass.com/building/fifty-third-and-eighth-manhattan-ny/281944545158031557/","Fifty Third and Eighth")</f>
        <v>Fifty Third and Eighth</v>
      </c>
      <c r="C2706" s="1" t="s">
        <v>57</v>
      </c>
      <c r="D2706" s="1" t="s">
        <v>41</v>
      </c>
      <c r="E2706" s="3">
        <v>1369414</v>
      </c>
      <c r="F2706" s="1">
        <v>1720.3696482411999</v>
      </c>
      <c r="M2706" s="1">
        <v>796</v>
      </c>
      <c r="Q2706" s="1" t="s">
        <v>42</v>
      </c>
      <c r="S2706" s="1" t="s">
        <v>42</v>
      </c>
      <c r="T2706" s="1" t="s">
        <v>203</v>
      </c>
      <c r="AA2706" s="1">
        <v>1369414.24</v>
      </c>
      <c r="AB2706" s="1" t="s">
        <v>2093</v>
      </c>
      <c r="AC2706" s="5">
        <v>43500</v>
      </c>
      <c r="AF2706" s="1">
        <v>10019</v>
      </c>
      <c r="AI2706" s="1" t="s">
        <v>76</v>
      </c>
      <c r="AJ2706" s="1">
        <v>2017</v>
      </c>
      <c r="AK2706" s="1" t="s">
        <v>50</v>
      </c>
      <c r="AL2706" s="1">
        <v>248</v>
      </c>
    </row>
    <row r="2707" spans="1:38" x14ac:dyDescent="0.2">
      <c r="A2707" s="2" t="str">
        <f>HYPERLINK("https://www.compass.com/listing/212-west-95th-street-unit-3b-manhattan-ny-10025/202777364533401985/","212 W 95th St, Unit 3B")</f>
        <v>212 W 95th St, Unit 3B</v>
      </c>
      <c r="B2707" s="2" t="str">
        <f>HYPERLINK("https://www.compass.com/building/dahlia-manhattan-ny/282058919214351605/","Dahlia")</f>
        <v>Dahlia</v>
      </c>
      <c r="C2707" s="1" t="s">
        <v>47</v>
      </c>
      <c r="D2707" s="1" t="s">
        <v>41</v>
      </c>
      <c r="E2707" s="3">
        <v>4000000</v>
      </c>
      <c r="F2707" s="1">
        <v>1904.7619047619</v>
      </c>
      <c r="G2707" s="1">
        <v>6</v>
      </c>
      <c r="H2707" s="1">
        <v>4</v>
      </c>
      <c r="I2707" s="1">
        <v>4</v>
      </c>
      <c r="J2707" s="1">
        <v>4</v>
      </c>
      <c r="K2707" s="1">
        <v>4</v>
      </c>
      <c r="M2707" s="4">
        <v>2100</v>
      </c>
      <c r="N2707" s="1">
        <v>1785.39</v>
      </c>
      <c r="O2707" s="1">
        <v>3947.74</v>
      </c>
      <c r="P2707" s="1">
        <v>2162.3333333333298</v>
      </c>
      <c r="Q2707" s="1" t="s">
        <v>42</v>
      </c>
      <c r="S2707" s="1" t="s">
        <v>42</v>
      </c>
      <c r="T2707" s="1" t="s">
        <v>203</v>
      </c>
      <c r="U2707" s="1">
        <v>275</v>
      </c>
      <c r="V2707" s="5">
        <v>44089</v>
      </c>
      <c r="W2707" s="5">
        <v>43531</v>
      </c>
      <c r="X2707" s="1">
        <v>3985000</v>
      </c>
      <c r="Y2707" s="1">
        <v>4085000</v>
      </c>
      <c r="Z2707" s="5">
        <v>43807</v>
      </c>
      <c r="AA2707" s="1">
        <v>4000000</v>
      </c>
      <c r="AB2707" s="1" t="s">
        <v>2094</v>
      </c>
      <c r="AC2707" s="5">
        <v>44085</v>
      </c>
      <c r="AF2707" s="1">
        <v>10025</v>
      </c>
      <c r="AI2707" s="1" t="s">
        <v>163</v>
      </c>
      <c r="AJ2707" s="1">
        <v>2019</v>
      </c>
      <c r="AK2707" s="1" t="s">
        <v>87</v>
      </c>
      <c r="AL2707" s="1">
        <v>38</v>
      </c>
    </row>
    <row r="2708" spans="1:38" x14ac:dyDescent="0.2">
      <c r="A2708" s="2" t="str">
        <f>HYPERLINK("https://www.compass.com/listing/200-east-62nd-street-unit-20a-manhattan-ny-10065/204097598817121361/","200 E 62nd St, Unit 20A")</f>
        <v>200 E 62nd St, Unit 20A</v>
      </c>
      <c r="B2708" s="2" t="str">
        <f>HYPERLINK("https://www.compass.com/building/200-e-62-manhattan-ny/282037506914928197/","200 E 62")</f>
        <v>200 E 62</v>
      </c>
      <c r="C2708" s="1" t="s">
        <v>53</v>
      </c>
      <c r="D2708" s="1" t="s">
        <v>41</v>
      </c>
      <c r="E2708" s="3">
        <v>4040404</v>
      </c>
      <c r="F2708" s="1">
        <v>2392.1870929544102</v>
      </c>
      <c r="M2708" s="4">
        <v>1689</v>
      </c>
      <c r="Q2708" s="1" t="s">
        <v>42</v>
      </c>
      <c r="S2708" s="1" t="s">
        <v>42</v>
      </c>
      <c r="T2708" s="1" t="s">
        <v>203</v>
      </c>
      <c r="AA2708" s="1">
        <v>4040404</v>
      </c>
      <c r="AB2708" s="1" t="s">
        <v>2095</v>
      </c>
      <c r="AC2708" s="5">
        <v>43525</v>
      </c>
      <c r="AF2708" s="1">
        <v>10065</v>
      </c>
      <c r="AI2708" s="1" t="s">
        <v>156</v>
      </c>
      <c r="AJ2708" s="1">
        <v>1967</v>
      </c>
      <c r="AK2708" s="1" t="s">
        <v>50</v>
      </c>
      <c r="AL2708" s="1">
        <v>113</v>
      </c>
    </row>
    <row r="2709" spans="1:38" x14ac:dyDescent="0.2">
      <c r="A2709" s="2" t="str">
        <f>HYPERLINK("https://www.compass.com/listing/340-west-72nd-street-unit-202-manhattan-ny-10023/209153826157066401/","340 W 72nd St, Unit 202")</f>
        <v>340 W 72nd St, Unit 202</v>
      </c>
      <c r="B2709" s="2" t="str">
        <f t="shared" ref="B2709:B2710" si="435">HYPERLINK("https://www.compass.com/building/the-chatsworth-annex-manhattan-ny/281960253094963669/","The Chatsworth Annex")</f>
        <v>The Chatsworth Annex</v>
      </c>
      <c r="C2709" s="1" t="s">
        <v>47</v>
      </c>
      <c r="D2709" s="1" t="s">
        <v>41</v>
      </c>
      <c r="E2709" s="3">
        <v>4019263</v>
      </c>
      <c r="Q2709" s="1" t="s">
        <v>191</v>
      </c>
      <c r="S2709" s="1" t="s">
        <v>191</v>
      </c>
      <c r="T2709" s="1" t="s">
        <v>203</v>
      </c>
      <c r="AA2709" s="1">
        <v>4019262.67</v>
      </c>
      <c r="AB2709" s="1" t="s">
        <v>2096</v>
      </c>
      <c r="AC2709" s="5">
        <v>43538</v>
      </c>
      <c r="AF2709" s="1">
        <v>10023</v>
      </c>
      <c r="AJ2709" s="1">
        <v>1920</v>
      </c>
      <c r="AL2709" s="1">
        <v>23</v>
      </c>
    </row>
    <row r="2710" spans="1:38" x14ac:dyDescent="0.2">
      <c r="A2710" s="2" t="str">
        <f>HYPERLINK("https://www.compass.com/listing/340-west-72nd-street-unit-209-manhattan-ny-10023/222917595400022385/","340 W 72nd St, Unit 209")</f>
        <v>340 W 72nd St, Unit 209</v>
      </c>
      <c r="B2710" s="2" t="str">
        <f t="shared" si="435"/>
        <v>The Chatsworth Annex</v>
      </c>
      <c r="C2710" s="1" t="s">
        <v>47</v>
      </c>
      <c r="D2710" s="1" t="s">
        <v>41</v>
      </c>
      <c r="E2710" s="3">
        <v>3866795</v>
      </c>
      <c r="Q2710" s="1" t="s">
        <v>191</v>
      </c>
      <c r="S2710" s="1" t="s">
        <v>191</v>
      </c>
      <c r="T2710" s="1" t="s">
        <v>203</v>
      </c>
      <c r="AA2710" s="1">
        <v>3866795.05</v>
      </c>
      <c r="AB2710" s="1" t="s">
        <v>2097</v>
      </c>
      <c r="AC2710" s="5">
        <v>43552</v>
      </c>
      <c r="AF2710" s="1">
        <v>10023</v>
      </c>
      <c r="AJ2710" s="1">
        <v>1920</v>
      </c>
      <c r="AL2710" s="1">
        <v>23</v>
      </c>
    </row>
    <row r="2711" spans="1:38" x14ac:dyDescent="0.2">
      <c r="A2711" s="2" t="str">
        <f>HYPERLINK("https://www.compass.com/listing/269-west-87th-street-unit-12a-manhattan-ny-10024/223645255067576865/","269 W 87th St, Unit 12A")</f>
        <v>269 W 87th St, Unit 12A</v>
      </c>
      <c r="B2711" s="2" t="str">
        <f t="shared" ref="B2711:B2712" si="436">HYPERLINK("https://www.compass.com/building/west-end-and-eighty-seven-manhattan-ny/282058755477110005/","West End and Eighty Seven")</f>
        <v>West End and Eighty Seven</v>
      </c>
      <c r="C2711" s="1" t="s">
        <v>47</v>
      </c>
      <c r="D2711" s="1" t="s">
        <v>41</v>
      </c>
      <c r="E2711" s="3">
        <v>11509225</v>
      </c>
      <c r="Q2711" s="1" t="s">
        <v>191</v>
      </c>
      <c r="S2711" s="1" t="s">
        <v>191</v>
      </c>
      <c r="T2711" s="1" t="s">
        <v>203</v>
      </c>
      <c r="AA2711" s="1">
        <v>11509225</v>
      </c>
      <c r="AB2711" s="1" t="s">
        <v>2098</v>
      </c>
      <c r="AC2711" s="5">
        <v>43551</v>
      </c>
      <c r="AF2711" s="1">
        <v>10024</v>
      </c>
      <c r="AI2711" s="1" t="s">
        <v>67</v>
      </c>
      <c r="AJ2711" s="1">
        <v>2018</v>
      </c>
      <c r="AK2711" s="1" t="s">
        <v>46</v>
      </c>
      <c r="AL2711" s="1">
        <v>39</v>
      </c>
    </row>
    <row r="2712" spans="1:38" x14ac:dyDescent="0.2">
      <c r="A2712" s="2" t="str">
        <f>HYPERLINK("https://www.compass.com/listing/269-west-87th-street-unit-th2-manhattan-ny-10024/232368386091270321/","269 W 87th St, Unit TH2")</f>
        <v>269 W 87th St, Unit TH2</v>
      </c>
      <c r="B2712" s="2" t="str">
        <f t="shared" si="436"/>
        <v>West End and Eighty Seven</v>
      </c>
      <c r="C2712" s="1" t="s">
        <v>47</v>
      </c>
      <c r="D2712" s="1" t="s">
        <v>41</v>
      </c>
      <c r="E2712" s="3">
        <v>7624601</v>
      </c>
      <c r="Q2712" s="1" t="s">
        <v>191</v>
      </c>
      <c r="S2712" s="1" t="s">
        <v>191</v>
      </c>
      <c r="T2712" s="1" t="s">
        <v>203</v>
      </c>
      <c r="AA2712" s="1">
        <v>7624601.25</v>
      </c>
      <c r="AB2712" s="1" t="s">
        <v>2099</v>
      </c>
      <c r="AC2712" s="5">
        <v>43559</v>
      </c>
      <c r="AF2712" s="1">
        <v>10024</v>
      </c>
      <c r="AI2712" s="1" t="s">
        <v>67</v>
      </c>
      <c r="AJ2712" s="1">
        <v>2018</v>
      </c>
      <c r="AK2712" s="1" t="s">
        <v>46</v>
      </c>
      <c r="AL2712" s="1">
        <v>39</v>
      </c>
    </row>
    <row r="2713" spans="1:38" x14ac:dyDescent="0.2">
      <c r="A2713" s="2" t="str">
        <f>HYPERLINK("https://www.compass.com/listing/430-broome-street-unit-3-manhattan-ny-10012/276895190554257265/","430 Broome St, Unit 3")</f>
        <v>430 Broome St, Unit 3</v>
      </c>
      <c r="B2713" s="2" t="str">
        <f>HYPERLINK("https://www.compass.com/building/430-broome-st-manhattan-ny-10012/281919807043964549/","430 Broome St")</f>
        <v>430 Broome St</v>
      </c>
      <c r="C2713" s="1" t="s">
        <v>913</v>
      </c>
      <c r="D2713" s="1" t="s">
        <v>41</v>
      </c>
      <c r="E2713" s="3">
        <v>2647450</v>
      </c>
      <c r="F2713" s="1">
        <v>1347.3027989821801</v>
      </c>
      <c r="M2713" s="4">
        <v>1965</v>
      </c>
      <c r="Q2713" s="1" t="s">
        <v>42</v>
      </c>
      <c r="S2713" s="1" t="s">
        <v>42</v>
      </c>
      <c r="T2713" s="1" t="s">
        <v>203</v>
      </c>
      <c r="AA2713" s="1">
        <v>2647450</v>
      </c>
      <c r="AB2713" s="1" t="s">
        <v>2100</v>
      </c>
      <c r="AC2713" s="5">
        <v>41920</v>
      </c>
      <c r="AF2713" s="1">
        <v>10012</v>
      </c>
      <c r="AJ2713" s="1">
        <v>1900</v>
      </c>
      <c r="AL2713" s="1">
        <v>5</v>
      </c>
    </row>
    <row r="2714" spans="1:38" x14ac:dyDescent="0.2">
      <c r="A2714" s="2" t="str">
        <f>HYPERLINK("https://www.compass.com/listing/421-west-22nd-street-unit-2r-manhattan-ny-10011/276912884720645505/","421 W 22nd St, Unit 2R")</f>
        <v>421 W 22nd St, Unit 2R</v>
      </c>
      <c r="B2714" s="2" t="str">
        <f>HYPERLINK("https://www.compass.com/building/421-w-22nd-st-manhattan-ny-10011/281910201349594997/","421 W 22nd St")</f>
        <v>421 W 22nd St</v>
      </c>
      <c r="C2714" s="1" t="s">
        <v>62</v>
      </c>
      <c r="D2714" s="1" t="s">
        <v>41</v>
      </c>
      <c r="E2714" s="3">
        <v>336023</v>
      </c>
      <c r="F2714" s="1">
        <v>755.10674157303299</v>
      </c>
      <c r="M2714" s="1">
        <v>445</v>
      </c>
      <c r="Q2714" s="1" t="s">
        <v>42</v>
      </c>
      <c r="S2714" s="1" t="s">
        <v>42</v>
      </c>
      <c r="T2714" s="1" t="s">
        <v>203</v>
      </c>
      <c r="AA2714" s="1">
        <v>336022.5</v>
      </c>
      <c r="AB2714" s="1" t="s">
        <v>2101</v>
      </c>
      <c r="AC2714" s="5">
        <v>43081</v>
      </c>
      <c r="AF2714" s="1">
        <v>10011</v>
      </c>
      <c r="AI2714" s="1" t="s">
        <v>73</v>
      </c>
      <c r="AJ2714" s="1">
        <v>1900</v>
      </c>
      <c r="AL2714" s="1">
        <v>8</v>
      </c>
    </row>
    <row r="2715" spans="1:38" x14ac:dyDescent="0.2">
      <c r="A2715" s="2" t="str">
        <f>HYPERLINK("https://www.compass.com/listing/591-3rd-avenue-unit-3d-manhattan-ny-10016/276997279200600913/","591 3rd Ave, Unit 3D")</f>
        <v>591 3rd Ave, Unit 3D</v>
      </c>
      <c r="B2715" s="2" t="str">
        <f>HYPERLINK("https://www.compass.com/building/the-lindley-manhattan-ny/282058799928343829/","The Lindley")</f>
        <v>The Lindley</v>
      </c>
      <c r="C2715" s="1" t="s">
        <v>165</v>
      </c>
      <c r="D2715" s="1" t="s">
        <v>41</v>
      </c>
      <c r="E2715" s="3">
        <v>1275813</v>
      </c>
      <c r="F2715" s="1">
        <v>1283.51358148893</v>
      </c>
      <c r="M2715" s="1">
        <v>994</v>
      </c>
      <c r="Q2715" s="1" t="s">
        <v>42</v>
      </c>
      <c r="S2715" s="1" t="s">
        <v>42</v>
      </c>
      <c r="T2715" s="1" t="s">
        <v>203</v>
      </c>
      <c r="AA2715" s="1">
        <v>1275812.5</v>
      </c>
      <c r="AB2715" s="1" t="s">
        <v>2102</v>
      </c>
      <c r="AC2715" s="5">
        <v>43608</v>
      </c>
      <c r="AF2715" s="1">
        <v>10016</v>
      </c>
      <c r="AI2715" s="1" t="s">
        <v>166</v>
      </c>
      <c r="AJ2715" s="1">
        <v>2018</v>
      </c>
      <c r="AK2715" s="1" t="s">
        <v>55</v>
      </c>
      <c r="AL2715" s="1">
        <v>74</v>
      </c>
    </row>
    <row r="2716" spans="1:38" x14ac:dyDescent="0.2">
      <c r="A2716" s="2" t="str">
        <f>HYPERLINK("https://www.compass.com/listing/340-west-72nd-street-unit-404-manhattan-ny-10023/277114639156793393/","340 W 72nd St, Unit 404")</f>
        <v>340 W 72nd St, Unit 404</v>
      </c>
      <c r="B2716" s="2" t="str">
        <f t="shared" ref="B2716:B2717" si="437">HYPERLINK("https://www.compass.com/building/the-chatsworth-annex-manhattan-ny/281960253094963669/","The Chatsworth Annex")</f>
        <v>The Chatsworth Annex</v>
      </c>
      <c r="C2716" s="1" t="s">
        <v>47</v>
      </c>
      <c r="D2716" s="1" t="s">
        <v>41</v>
      </c>
      <c r="E2716" s="3">
        <v>3362735</v>
      </c>
      <c r="Q2716" s="1" t="s">
        <v>191</v>
      </c>
      <c r="S2716" s="1" t="s">
        <v>191</v>
      </c>
      <c r="T2716" s="1" t="s">
        <v>203</v>
      </c>
      <c r="AA2716" s="1">
        <v>3362735.32</v>
      </c>
      <c r="AB2716" s="1" t="s">
        <v>2103</v>
      </c>
      <c r="AC2716" s="5">
        <v>43600</v>
      </c>
      <c r="AF2716" s="1">
        <v>10023</v>
      </c>
      <c r="AJ2716" s="1">
        <v>1920</v>
      </c>
      <c r="AL2716" s="1">
        <v>23</v>
      </c>
    </row>
    <row r="2717" spans="1:38" x14ac:dyDescent="0.2">
      <c r="A2717" s="2" t="str">
        <f>HYPERLINK("https://www.compass.com/listing/340-west-72nd-street-unit-a4b-manhattan-ny-10023/277114641371439681/","340 W 72nd St, Unit A4B")</f>
        <v>340 W 72nd St, Unit A4B</v>
      </c>
      <c r="B2717" s="2" t="str">
        <f t="shared" si="437"/>
        <v>The Chatsworth Annex</v>
      </c>
      <c r="C2717" s="1" t="s">
        <v>47</v>
      </c>
      <c r="D2717" s="1" t="s">
        <v>41</v>
      </c>
      <c r="E2717" s="3">
        <v>1582281</v>
      </c>
      <c r="Q2717" s="1" t="s">
        <v>191</v>
      </c>
      <c r="S2717" s="1" t="s">
        <v>191</v>
      </c>
      <c r="T2717" s="1" t="s">
        <v>203</v>
      </c>
      <c r="AA2717" s="1">
        <v>1582280.69</v>
      </c>
      <c r="AB2717" s="1" t="s">
        <v>2104</v>
      </c>
      <c r="AC2717" s="5">
        <v>43605</v>
      </c>
      <c r="AF2717" s="1">
        <v>10023</v>
      </c>
      <c r="AJ2717" s="1">
        <v>1920</v>
      </c>
      <c r="AL2717" s="1">
        <v>23</v>
      </c>
    </row>
    <row r="2718" spans="1:38" x14ac:dyDescent="0.2">
      <c r="A2718" s="2" t="str">
        <f>HYPERLINK("https://www.compass.com/listing/175-west-95th-street-unit-20f-manhattan-ny-10025/277119509372880241/","175 W 95th St, Unit 20F")</f>
        <v>175 W 95th St, Unit 20F</v>
      </c>
      <c r="B2718" s="2" t="str">
        <f>HYPERLINK("https://www.compass.com/building/175-w-95th-manhattan-ny/292876785429866517/","175 W 95th")</f>
        <v>175 W 95th</v>
      </c>
      <c r="C2718" s="1" t="s">
        <v>47</v>
      </c>
      <c r="D2718" s="1" t="s">
        <v>41</v>
      </c>
      <c r="E2718" s="3">
        <v>900000</v>
      </c>
      <c r="F2718" s="1">
        <v>948.36670179135899</v>
      </c>
      <c r="M2718" s="1">
        <v>949</v>
      </c>
      <c r="Q2718" s="1" t="s">
        <v>42</v>
      </c>
      <c r="S2718" s="1" t="s">
        <v>42</v>
      </c>
      <c r="T2718" s="1" t="s">
        <v>203</v>
      </c>
      <c r="AA2718" s="1">
        <v>900000</v>
      </c>
      <c r="AB2718" s="1" t="s">
        <v>2105</v>
      </c>
      <c r="AC2718" s="5">
        <v>43585</v>
      </c>
      <c r="AF2718" s="1">
        <v>10025</v>
      </c>
      <c r="AI2718" s="1" t="s">
        <v>52</v>
      </c>
      <c r="AJ2718" s="1">
        <v>1971</v>
      </c>
      <c r="AK2718" s="1" t="s">
        <v>50</v>
      </c>
      <c r="AL2718" s="1">
        <v>226</v>
      </c>
    </row>
    <row r="2719" spans="1:38" x14ac:dyDescent="0.2">
      <c r="A2719" s="2" t="str">
        <f>HYPERLINK("https://www.compass.com/listing/200-east-62nd-street-unit-6b-manhattan-ny-10065/277146136886701697/","200 E 62nd St, Unit 6B")</f>
        <v>200 E 62nd St, Unit 6B</v>
      </c>
      <c r="B2719" s="2" t="str">
        <f t="shared" ref="B2719:B2720" si="438">HYPERLINK("https://www.compass.com/building/200-e-62-manhattan-ny/282037506914928197/","200 E 62")</f>
        <v>200 E 62</v>
      </c>
      <c r="C2719" s="1" t="s">
        <v>53</v>
      </c>
      <c r="D2719" s="1" t="s">
        <v>41</v>
      </c>
      <c r="E2719" s="3">
        <v>1932129</v>
      </c>
      <c r="F2719" s="1">
        <v>1139.8993392330301</v>
      </c>
      <c r="M2719" s="4">
        <v>1695</v>
      </c>
      <c r="Q2719" s="1" t="s">
        <v>42</v>
      </c>
      <c r="S2719" s="1" t="s">
        <v>42</v>
      </c>
      <c r="T2719" s="1" t="s">
        <v>203</v>
      </c>
      <c r="AA2719" s="1">
        <v>1932129.38</v>
      </c>
      <c r="AB2719" s="1" t="s">
        <v>2106</v>
      </c>
      <c r="AC2719" s="5">
        <v>43600</v>
      </c>
      <c r="AF2719" s="1">
        <v>10065</v>
      </c>
      <c r="AI2719" s="1" t="s">
        <v>156</v>
      </c>
      <c r="AJ2719" s="1">
        <v>1967</v>
      </c>
      <c r="AK2719" s="1" t="s">
        <v>50</v>
      </c>
      <c r="AL2719" s="1">
        <v>113</v>
      </c>
    </row>
    <row r="2720" spans="1:38" x14ac:dyDescent="0.2">
      <c r="A2720" s="2" t="str">
        <f>HYPERLINK("https://www.compass.com/listing/200-east-62nd-street-unit-pha-manhattan-ny-10065/277146186941572913/","200 E 62nd St, Unit PHA")</f>
        <v>200 E 62nd St, Unit PHA</v>
      </c>
      <c r="B2720" s="2" t="str">
        <f t="shared" si="438"/>
        <v>200 E 62</v>
      </c>
      <c r="C2720" s="1" t="s">
        <v>53</v>
      </c>
      <c r="D2720" s="1" t="s">
        <v>41</v>
      </c>
      <c r="E2720" s="3">
        <v>7295000</v>
      </c>
      <c r="F2720" s="1">
        <v>2607.2194424588902</v>
      </c>
      <c r="M2720" s="4">
        <v>2798</v>
      </c>
      <c r="Q2720" s="1" t="s">
        <v>42</v>
      </c>
      <c r="S2720" s="1" t="s">
        <v>42</v>
      </c>
      <c r="T2720" s="1" t="s">
        <v>203</v>
      </c>
      <c r="AA2720" s="1">
        <v>7295000</v>
      </c>
      <c r="AB2720" s="1" t="s">
        <v>2107</v>
      </c>
      <c r="AC2720" s="5">
        <v>43378</v>
      </c>
      <c r="AF2720" s="1">
        <v>10065</v>
      </c>
      <c r="AI2720" s="1" t="s">
        <v>156</v>
      </c>
      <c r="AJ2720" s="1">
        <v>1967</v>
      </c>
      <c r="AK2720" s="1" t="s">
        <v>50</v>
      </c>
      <c r="AL2720" s="1">
        <v>113</v>
      </c>
    </row>
    <row r="2721" spans="1:38" x14ac:dyDescent="0.2">
      <c r="A2721" s="2" t="str">
        <f>HYPERLINK("https://www.compass.com/listing/210-bowery-unit-5th-f-manhattan-ny-10012/293391080139840225/","210 Bowery, Unit 5TH F")</f>
        <v>210 Bowery, Unit 5TH F</v>
      </c>
      <c r="B2721" s="2" t="str">
        <f t="shared" ref="B2721:B2723" si="439">HYPERLINK("https://www.compass.com/building/210-bowery-manhattan-ny-10012/281914022184383861/","210 Bowery")</f>
        <v>210 Bowery</v>
      </c>
      <c r="C2721" s="1" t="s">
        <v>118</v>
      </c>
      <c r="D2721" s="1" t="s">
        <v>41</v>
      </c>
      <c r="E2721" s="3">
        <v>2975000</v>
      </c>
      <c r="F2721" s="1">
        <v>2741.9354838709601</v>
      </c>
      <c r="M2721" s="4">
        <v>1085</v>
      </c>
      <c r="Q2721" s="1" t="s">
        <v>42</v>
      </c>
      <c r="S2721" s="1" t="s">
        <v>42</v>
      </c>
      <c r="T2721" s="1" t="s">
        <v>203</v>
      </c>
      <c r="AA2721" s="1">
        <v>2975000</v>
      </c>
      <c r="AB2721" s="1" t="s">
        <v>2108</v>
      </c>
      <c r="AC2721" s="5">
        <v>43444</v>
      </c>
      <c r="AF2721" s="1">
        <v>10012</v>
      </c>
      <c r="AI2721" s="1" t="s">
        <v>45</v>
      </c>
      <c r="AJ2721" s="1">
        <v>2016</v>
      </c>
      <c r="AL2721" s="1">
        <v>7</v>
      </c>
    </row>
    <row r="2722" spans="1:38" x14ac:dyDescent="0.2">
      <c r="A2722" s="2" t="str">
        <f>HYPERLINK("https://www.compass.com/listing/210-bowery-unit-6th-f-manhattan-ny-10012/293391081230359665/","210 Bowery, Unit 6TH F")</f>
        <v>210 Bowery, Unit 6TH F</v>
      </c>
      <c r="B2722" s="2" t="str">
        <f t="shared" si="439"/>
        <v>210 Bowery</v>
      </c>
      <c r="C2722" s="1" t="s">
        <v>118</v>
      </c>
      <c r="D2722" s="1" t="s">
        <v>41</v>
      </c>
      <c r="E2722" s="3">
        <v>2553000</v>
      </c>
      <c r="F2722" s="1">
        <v>2352.9953917050598</v>
      </c>
      <c r="M2722" s="4">
        <v>1085</v>
      </c>
      <c r="Q2722" s="1" t="s">
        <v>42</v>
      </c>
      <c r="S2722" s="1" t="s">
        <v>42</v>
      </c>
      <c r="T2722" s="1" t="s">
        <v>203</v>
      </c>
      <c r="AA2722" s="1">
        <v>2553000</v>
      </c>
      <c r="AB2722" s="1" t="s">
        <v>2109</v>
      </c>
      <c r="AC2722" s="5">
        <v>43455</v>
      </c>
      <c r="AF2722" s="1">
        <v>10012</v>
      </c>
      <c r="AI2722" s="1" t="s">
        <v>45</v>
      </c>
      <c r="AJ2722" s="1">
        <v>2016</v>
      </c>
      <c r="AL2722" s="1">
        <v>7</v>
      </c>
    </row>
    <row r="2723" spans="1:38" x14ac:dyDescent="0.2">
      <c r="A2723" s="2" t="str">
        <f>HYPERLINK("https://www.compass.com/listing/210-bowery-unit-7th-f-manhattan-ny-10012/293392187327095297/","210 Bowery, Unit 7TH F")</f>
        <v>210 Bowery, Unit 7TH F</v>
      </c>
      <c r="B2723" s="2" t="str">
        <f t="shared" si="439"/>
        <v>210 Bowery</v>
      </c>
      <c r="C2723" s="1" t="s">
        <v>118</v>
      </c>
      <c r="D2723" s="1" t="s">
        <v>41</v>
      </c>
      <c r="E2723" s="3">
        <v>2665000</v>
      </c>
      <c r="F2723" s="1">
        <v>2456.2211981566802</v>
      </c>
      <c r="M2723" s="4">
        <v>1085</v>
      </c>
      <c r="Q2723" s="1" t="s">
        <v>42</v>
      </c>
      <c r="S2723" s="1" t="s">
        <v>42</v>
      </c>
      <c r="T2723" s="1" t="s">
        <v>203</v>
      </c>
      <c r="AA2723" s="1">
        <v>2665000</v>
      </c>
      <c r="AB2723" s="1" t="s">
        <v>2110</v>
      </c>
      <c r="AC2723" s="5">
        <v>43602</v>
      </c>
      <c r="AF2723" s="1">
        <v>10012</v>
      </c>
      <c r="AI2723" s="1" t="s">
        <v>45</v>
      </c>
      <c r="AJ2723" s="1">
        <v>2016</v>
      </c>
      <c r="AL2723" s="1">
        <v>7</v>
      </c>
    </row>
    <row r="2724" spans="1:38" x14ac:dyDescent="0.2">
      <c r="A2724" s="2" t="str">
        <f>HYPERLINK("https://www.compass.com/listing/264-water-street-unit-1c-manhattan-ny-10038/29357477552195057/","264 Water St, Unit 1C")</f>
        <v>264 Water St, Unit 1C</v>
      </c>
      <c r="B2724" s="2" t="str">
        <f t="shared" ref="B2724:B2730" si="440">HYPERLINK("https://www.compass.com/building/264-water-st-manhattan-ny-10038/820452910768211061/","264 Water St")</f>
        <v>264 Water St</v>
      </c>
      <c r="C2724" s="1" t="s">
        <v>155</v>
      </c>
      <c r="D2724" s="1" t="s">
        <v>41</v>
      </c>
      <c r="E2724" s="3">
        <v>1135349</v>
      </c>
      <c r="F2724" s="1">
        <v>874.017513471901</v>
      </c>
      <c r="G2724" s="1">
        <v>4</v>
      </c>
      <c r="H2724" s="1">
        <v>2</v>
      </c>
      <c r="I2724" s="1">
        <v>2</v>
      </c>
      <c r="J2724" s="1">
        <v>2</v>
      </c>
      <c r="M2724" s="4">
        <v>1299</v>
      </c>
      <c r="N2724" s="1">
        <v>545</v>
      </c>
      <c r="O2724" s="1">
        <v>1365</v>
      </c>
      <c r="P2724" s="1">
        <v>820</v>
      </c>
      <c r="Q2724" s="1" t="s">
        <v>42</v>
      </c>
      <c r="S2724" s="1" t="s">
        <v>42</v>
      </c>
      <c r="T2724" s="1" t="s">
        <v>203</v>
      </c>
      <c r="U2724" s="1">
        <v>120</v>
      </c>
      <c r="V2724" s="5">
        <v>42326</v>
      </c>
      <c r="W2724" s="5">
        <v>41954</v>
      </c>
      <c r="X2724" s="1">
        <v>1075000</v>
      </c>
      <c r="Y2724" s="1">
        <v>1130000</v>
      </c>
      <c r="Z2724" s="5">
        <v>42075</v>
      </c>
      <c r="AA2724" s="1">
        <v>1135348.75</v>
      </c>
      <c r="AB2724" s="1" t="s">
        <v>2111</v>
      </c>
      <c r="AC2724" s="5">
        <v>42108</v>
      </c>
      <c r="AF2724" s="1">
        <v>10038</v>
      </c>
      <c r="AJ2724" s="1">
        <v>1900</v>
      </c>
      <c r="AK2724" s="1" t="s">
        <v>55</v>
      </c>
      <c r="AL2724" s="1">
        <v>27</v>
      </c>
    </row>
    <row r="2725" spans="1:38" x14ac:dyDescent="0.2">
      <c r="A2725" s="2" t="str">
        <f>HYPERLINK("https://www.compass.com/listing/264-water-street-unit-2a-manhattan-ny-10038/29357477854283025/","264 Water St, Unit 2A")</f>
        <v>264 Water St, Unit 2A</v>
      </c>
      <c r="B2725" s="2" t="str">
        <f t="shared" si="440"/>
        <v>264 Water St</v>
      </c>
      <c r="C2725" s="1" t="s">
        <v>155</v>
      </c>
      <c r="D2725" s="1" t="s">
        <v>41</v>
      </c>
      <c r="E2725" s="3">
        <v>1160805</v>
      </c>
      <c r="F2725" s="1">
        <v>881.40091116173096</v>
      </c>
      <c r="M2725" s="4">
        <v>1317</v>
      </c>
      <c r="Q2725" s="1" t="s">
        <v>42</v>
      </c>
      <c r="S2725" s="1" t="s">
        <v>42</v>
      </c>
      <c r="T2725" s="1" t="s">
        <v>203</v>
      </c>
      <c r="AA2725" s="1">
        <v>1160805</v>
      </c>
      <c r="AB2725" s="1" t="s">
        <v>2112</v>
      </c>
      <c r="AC2725" s="5">
        <v>41851</v>
      </c>
      <c r="AF2725" s="1">
        <v>10038</v>
      </c>
      <c r="AJ2725" s="1">
        <v>1900</v>
      </c>
      <c r="AL2725" s="1">
        <v>27</v>
      </c>
    </row>
    <row r="2726" spans="1:38" x14ac:dyDescent="0.2">
      <c r="A2726" s="2" t="str">
        <f>HYPERLINK("https://www.compass.com/listing/264-water-street-unit-3b-manhattan-ny-10038/29357479498352145/","264 Water St, Unit 3B")</f>
        <v>264 Water St, Unit 3B</v>
      </c>
      <c r="B2726" s="2" t="str">
        <f t="shared" si="440"/>
        <v>264 Water St</v>
      </c>
      <c r="C2726" s="1" t="s">
        <v>155</v>
      </c>
      <c r="D2726" s="1" t="s">
        <v>41</v>
      </c>
      <c r="E2726" s="3">
        <v>1369546</v>
      </c>
      <c r="F2726" s="1">
        <v>882.43959407216403</v>
      </c>
      <c r="M2726" s="4">
        <v>1552</v>
      </c>
      <c r="Q2726" s="1" t="s">
        <v>42</v>
      </c>
      <c r="S2726" s="1" t="s">
        <v>42</v>
      </c>
      <c r="T2726" s="1" t="s">
        <v>203</v>
      </c>
      <c r="AA2726" s="1">
        <v>1369546.25</v>
      </c>
      <c r="AB2726" s="1" t="s">
        <v>2113</v>
      </c>
      <c r="AC2726" s="5">
        <v>41886</v>
      </c>
      <c r="AF2726" s="1">
        <v>10038</v>
      </c>
      <c r="AJ2726" s="1">
        <v>1900</v>
      </c>
      <c r="AL2726" s="1">
        <v>27</v>
      </c>
    </row>
    <row r="2727" spans="1:38" x14ac:dyDescent="0.2">
      <c r="A2727" s="2" t="str">
        <f>HYPERLINK("https://www.compass.com/listing/264-water-street-unit-4c-manhattan-ny-10038/29357481553561153/","264 Water St, Unit 4C")</f>
        <v>264 Water St, Unit 4C</v>
      </c>
      <c r="B2727" s="2" t="str">
        <f t="shared" si="440"/>
        <v>264 Water St</v>
      </c>
      <c r="C2727" s="1" t="s">
        <v>155</v>
      </c>
      <c r="D2727" s="1" t="s">
        <v>41</v>
      </c>
      <c r="E2727" s="3">
        <v>1072719</v>
      </c>
      <c r="F2727" s="1">
        <v>884.35222588623196</v>
      </c>
      <c r="M2727" s="4">
        <v>1213</v>
      </c>
      <c r="Q2727" s="1" t="s">
        <v>42</v>
      </c>
      <c r="S2727" s="1" t="s">
        <v>42</v>
      </c>
      <c r="T2727" s="1" t="s">
        <v>203</v>
      </c>
      <c r="AA2727" s="1">
        <v>1072719.25</v>
      </c>
      <c r="AB2727" s="1" t="s">
        <v>2114</v>
      </c>
      <c r="AC2727" s="5">
        <v>41884</v>
      </c>
      <c r="AF2727" s="1">
        <v>10038</v>
      </c>
      <c r="AJ2727" s="1">
        <v>1900</v>
      </c>
      <c r="AL2727" s="1">
        <v>27</v>
      </c>
    </row>
    <row r="2728" spans="1:38" x14ac:dyDescent="0.2">
      <c r="A2728" s="2" t="str">
        <f>HYPERLINK("https://www.compass.com/listing/264-water-street-unit-5c-manhattan-ny-10038/29357484086920817/","264 Water St, Unit 5C")</f>
        <v>264 Water St, Unit 5C</v>
      </c>
      <c r="B2728" s="2" t="str">
        <f t="shared" si="440"/>
        <v>264 Water St</v>
      </c>
      <c r="C2728" s="1" t="s">
        <v>155</v>
      </c>
      <c r="D2728" s="1" t="s">
        <v>41</v>
      </c>
      <c r="E2728" s="3">
        <v>1043706</v>
      </c>
      <c r="F2728" s="1">
        <v>860.433841714756</v>
      </c>
      <c r="M2728" s="4">
        <v>1213</v>
      </c>
      <c r="Q2728" s="1" t="s">
        <v>42</v>
      </c>
      <c r="S2728" s="1" t="s">
        <v>42</v>
      </c>
      <c r="T2728" s="1" t="s">
        <v>203</v>
      </c>
      <c r="AA2728" s="1">
        <v>1043706.25</v>
      </c>
      <c r="AB2728" s="1" t="s">
        <v>2115</v>
      </c>
      <c r="AC2728" s="5">
        <v>41887</v>
      </c>
      <c r="AF2728" s="1">
        <v>10038</v>
      </c>
      <c r="AJ2728" s="1">
        <v>1900</v>
      </c>
      <c r="AL2728" s="1">
        <v>27</v>
      </c>
    </row>
    <row r="2729" spans="1:38" x14ac:dyDescent="0.2">
      <c r="A2729" s="2" t="str">
        <f>HYPERLINK("https://www.compass.com/listing/264-water-street-unit-6a-manhattan-ny-10038/29357484699292401/","264 Water St, Unit 6A")</f>
        <v>264 Water St, Unit 6A</v>
      </c>
      <c r="B2729" s="2" t="str">
        <f t="shared" si="440"/>
        <v>264 Water St</v>
      </c>
      <c r="C2729" s="1" t="s">
        <v>155</v>
      </c>
      <c r="D2729" s="1" t="s">
        <v>41</v>
      </c>
      <c r="E2729" s="3">
        <v>1374638</v>
      </c>
      <c r="F2729" s="1">
        <v>1043.76423690205</v>
      </c>
      <c r="M2729" s="4">
        <v>1317</v>
      </c>
      <c r="Q2729" s="1" t="s">
        <v>42</v>
      </c>
      <c r="S2729" s="1" t="s">
        <v>42</v>
      </c>
      <c r="T2729" s="1" t="s">
        <v>203</v>
      </c>
      <c r="AA2729" s="1">
        <v>1374637.5</v>
      </c>
      <c r="AB2729" s="1" t="s">
        <v>2116</v>
      </c>
      <c r="AC2729" s="5">
        <v>42046</v>
      </c>
      <c r="AF2729" s="1">
        <v>10038</v>
      </c>
      <c r="AJ2729" s="1">
        <v>1900</v>
      </c>
      <c r="AL2729" s="1">
        <v>27</v>
      </c>
    </row>
    <row r="2730" spans="1:38" x14ac:dyDescent="0.2">
      <c r="A2730" s="2" t="str">
        <f>HYPERLINK("https://www.compass.com/listing/264-water-street-unit-phb-manhattan-ny-10038/29357486603601393/","264 Water St, Unit PHB")</f>
        <v>264 Water St, Unit PHB</v>
      </c>
      <c r="B2730" s="2" t="str">
        <f t="shared" si="440"/>
        <v>264 Water St</v>
      </c>
      <c r="C2730" s="1" t="s">
        <v>155</v>
      </c>
      <c r="D2730" s="1" t="s">
        <v>41</v>
      </c>
      <c r="E2730" s="3">
        <v>1527375</v>
      </c>
      <c r="F2730" s="1">
        <v>1169.5061255742701</v>
      </c>
      <c r="M2730" s="4">
        <v>1306</v>
      </c>
      <c r="Q2730" s="1" t="s">
        <v>42</v>
      </c>
      <c r="S2730" s="1" t="s">
        <v>42</v>
      </c>
      <c r="T2730" s="1" t="s">
        <v>203</v>
      </c>
      <c r="AA2730" s="1">
        <v>1527375</v>
      </c>
      <c r="AB2730" s="1" t="s">
        <v>2117</v>
      </c>
      <c r="AC2730" s="5">
        <v>41879</v>
      </c>
      <c r="AF2730" s="1">
        <v>10038</v>
      </c>
      <c r="AJ2730" s="1">
        <v>1900</v>
      </c>
      <c r="AL2730" s="1">
        <v>27</v>
      </c>
    </row>
    <row r="2731" spans="1:38" x14ac:dyDescent="0.2">
      <c r="A2731" s="2" t="str">
        <f>HYPERLINK("https://www.compass.com/listing/30-park-place-unit-39a-manhattan-ny-10007/29357552051424177/","30 Park Pl, Unit 39A")</f>
        <v>30 Park Pl, Unit 39A</v>
      </c>
      <c r="B2731" s="2" t="str">
        <f t="shared" ref="B2731:B2742" si="441">HYPERLINK("https://www.compass.com/building/30-park-pl-manhattan-ny-10007/281896912905317605/","30 Park Pl")</f>
        <v>30 Park Pl</v>
      </c>
      <c r="C2731" s="1" t="s">
        <v>40</v>
      </c>
      <c r="D2731" s="1" t="s">
        <v>41</v>
      </c>
      <c r="E2731" s="3">
        <v>1350000</v>
      </c>
      <c r="F2731" s="1">
        <v>2265.10067114093</v>
      </c>
      <c r="G2731" s="1">
        <v>2</v>
      </c>
      <c r="H2731" s="1" t="s">
        <v>77</v>
      </c>
      <c r="I2731" s="1">
        <v>1</v>
      </c>
      <c r="J2731" s="1">
        <v>1</v>
      </c>
      <c r="K2731" s="1">
        <v>1</v>
      </c>
      <c r="M2731" s="1">
        <v>596</v>
      </c>
      <c r="N2731" s="1">
        <v>469</v>
      </c>
      <c r="O2731" s="1">
        <v>1666</v>
      </c>
      <c r="P2731" s="1">
        <v>1197</v>
      </c>
      <c r="Q2731" s="1" t="s">
        <v>42</v>
      </c>
      <c r="S2731" s="1" t="s">
        <v>42</v>
      </c>
      <c r="T2731" s="1" t="s">
        <v>203</v>
      </c>
      <c r="U2731" s="1">
        <v>58</v>
      </c>
      <c r="V2731" s="5">
        <v>43008</v>
      </c>
      <c r="W2731" s="5">
        <v>42935</v>
      </c>
      <c r="X2731" s="1">
        <v>1350000</v>
      </c>
      <c r="Y2731" s="1">
        <v>1350000</v>
      </c>
      <c r="AA2731" s="1">
        <v>1350000</v>
      </c>
      <c r="AB2731" s="1" t="s">
        <v>2118</v>
      </c>
      <c r="AC2731" s="5">
        <v>42993</v>
      </c>
      <c r="AF2731" s="1">
        <v>10007</v>
      </c>
      <c r="AJ2731" s="1">
        <v>2016</v>
      </c>
      <c r="AK2731" s="1" t="s">
        <v>81</v>
      </c>
      <c r="AL2731" s="1">
        <v>157</v>
      </c>
    </row>
    <row r="2732" spans="1:38" x14ac:dyDescent="0.2">
      <c r="A2732" s="2" t="str">
        <f>HYPERLINK("https://www.compass.com/listing/30-park-place-unit-47c-manhattan-ny-10007/29357564399553537/","30 Park Pl, Unit 47C")</f>
        <v>30 Park Pl, Unit 47C</v>
      </c>
      <c r="B2732" s="2" t="str">
        <f t="shared" si="441"/>
        <v>30 Park Pl</v>
      </c>
      <c r="C2732" s="1" t="s">
        <v>40</v>
      </c>
      <c r="D2732" s="1" t="s">
        <v>41</v>
      </c>
      <c r="E2732" s="3">
        <v>3222761</v>
      </c>
      <c r="F2732" s="1">
        <v>2908.62928700361</v>
      </c>
      <c r="H2732" s="1">
        <v>1</v>
      </c>
      <c r="J2732" s="1">
        <v>1.5</v>
      </c>
      <c r="M2732" s="4">
        <v>1108</v>
      </c>
      <c r="N2732" s="1">
        <v>889</v>
      </c>
      <c r="O2732" s="1">
        <v>3145</v>
      </c>
      <c r="P2732" s="1">
        <v>2256</v>
      </c>
      <c r="Q2732" s="1" t="s">
        <v>42</v>
      </c>
      <c r="S2732" s="1" t="s">
        <v>42</v>
      </c>
      <c r="T2732" s="1" t="s">
        <v>203</v>
      </c>
      <c r="AA2732" s="1">
        <v>3222761.25</v>
      </c>
      <c r="AB2732" s="1" t="s">
        <v>2119</v>
      </c>
      <c r="AC2732" s="5">
        <v>42667</v>
      </c>
      <c r="AF2732" s="1">
        <v>10007</v>
      </c>
      <c r="AJ2732" s="1">
        <v>2016</v>
      </c>
      <c r="AK2732" s="1" t="s">
        <v>50</v>
      </c>
      <c r="AL2732" s="1">
        <v>157</v>
      </c>
    </row>
    <row r="2733" spans="1:38" x14ac:dyDescent="0.2">
      <c r="A2733" s="2" t="str">
        <f>HYPERLINK("https://www.compass.com/listing/30-park-place-unit-48e-manhattan-ny-10007/29357566035233969/","30 Park Pl, Unit 48E")</f>
        <v>30 Park Pl, Unit 48E</v>
      </c>
      <c r="B2733" s="2" t="str">
        <f t="shared" si="441"/>
        <v>30 Park Pl</v>
      </c>
      <c r="C2733" s="1" t="s">
        <v>40</v>
      </c>
      <c r="D2733" s="1" t="s">
        <v>41</v>
      </c>
      <c r="E2733" s="3">
        <v>5641288</v>
      </c>
      <c r="F2733" s="1">
        <v>3144.5303790412399</v>
      </c>
      <c r="H2733" s="1">
        <v>3</v>
      </c>
      <c r="J2733" s="1">
        <v>2.5</v>
      </c>
      <c r="M2733" s="4">
        <v>1794</v>
      </c>
      <c r="N2733" s="1">
        <v>1457</v>
      </c>
      <c r="O2733" s="1">
        <v>5172</v>
      </c>
      <c r="P2733" s="1">
        <v>3715</v>
      </c>
      <c r="Q2733" s="1" t="s">
        <v>42</v>
      </c>
      <c r="S2733" s="1" t="s">
        <v>42</v>
      </c>
      <c r="T2733" s="1" t="s">
        <v>203</v>
      </c>
      <c r="AA2733" s="1">
        <v>5641287.5</v>
      </c>
      <c r="AB2733" s="1" t="s">
        <v>2120</v>
      </c>
      <c r="AC2733" s="5">
        <v>42620</v>
      </c>
      <c r="AF2733" s="1">
        <v>10007</v>
      </c>
      <c r="AJ2733" s="1">
        <v>2016</v>
      </c>
      <c r="AK2733" s="1" t="s">
        <v>50</v>
      </c>
      <c r="AL2733" s="1">
        <v>157</v>
      </c>
    </row>
    <row r="2734" spans="1:38" x14ac:dyDescent="0.2">
      <c r="A2734" s="2" t="str">
        <f>HYPERLINK("https://www.compass.com/listing/30-park-place-unit-49a-manhattan-ny-10007/29357566362487841/","30 Park Pl, Unit 49A")</f>
        <v>30 Park Pl, Unit 49A</v>
      </c>
      <c r="B2734" s="2" t="str">
        <f t="shared" si="441"/>
        <v>30 Park Pl</v>
      </c>
      <c r="C2734" s="1" t="s">
        <v>40</v>
      </c>
      <c r="D2734" s="1" t="s">
        <v>41</v>
      </c>
      <c r="E2734" s="3">
        <v>6850000</v>
      </c>
      <c r="F2734" s="1">
        <v>3086.9761153672798</v>
      </c>
      <c r="H2734" s="1">
        <v>3</v>
      </c>
      <c r="J2734" s="1">
        <v>3.5</v>
      </c>
      <c r="M2734" s="4">
        <v>2219</v>
      </c>
      <c r="N2734" s="1">
        <v>1820</v>
      </c>
      <c r="O2734" s="1">
        <v>6460</v>
      </c>
      <c r="P2734" s="1">
        <v>4640</v>
      </c>
      <c r="Q2734" s="1" t="s">
        <v>42</v>
      </c>
      <c r="S2734" s="1" t="s">
        <v>42</v>
      </c>
      <c r="T2734" s="1" t="s">
        <v>203</v>
      </c>
      <c r="AA2734" s="1">
        <v>6850000</v>
      </c>
      <c r="AB2734" s="1" t="s">
        <v>2121</v>
      </c>
      <c r="AC2734" s="5">
        <v>43012</v>
      </c>
      <c r="AF2734" s="1">
        <v>10007</v>
      </c>
      <c r="AJ2734" s="1">
        <v>2016</v>
      </c>
      <c r="AK2734" s="1" t="s">
        <v>50</v>
      </c>
      <c r="AL2734" s="1">
        <v>157</v>
      </c>
    </row>
    <row r="2735" spans="1:38" x14ac:dyDescent="0.2">
      <c r="A2735" s="2" t="str">
        <f>HYPERLINK("https://www.compass.com/listing/30-park-place-unit-50a-manhattan-ny-10007/29357567629072673/","30 Park Pl, Unit 50A")</f>
        <v>30 Park Pl, Unit 50A</v>
      </c>
      <c r="B2735" s="2" t="str">
        <f t="shared" si="441"/>
        <v>30 Park Pl</v>
      </c>
      <c r="C2735" s="1" t="s">
        <v>40</v>
      </c>
      <c r="D2735" s="1" t="s">
        <v>41</v>
      </c>
      <c r="E2735" s="3">
        <v>7484138</v>
      </c>
      <c r="F2735" s="1">
        <v>3372.7523659305898</v>
      </c>
      <c r="H2735" s="1">
        <v>3</v>
      </c>
      <c r="J2735" s="1">
        <v>3.5</v>
      </c>
      <c r="M2735" s="4">
        <v>2219</v>
      </c>
      <c r="N2735" s="1">
        <v>1823</v>
      </c>
      <c r="O2735" s="1">
        <v>6470</v>
      </c>
      <c r="P2735" s="1">
        <v>4647</v>
      </c>
      <c r="Q2735" s="1" t="s">
        <v>42</v>
      </c>
      <c r="S2735" s="1" t="s">
        <v>42</v>
      </c>
      <c r="T2735" s="1" t="s">
        <v>203</v>
      </c>
      <c r="AA2735" s="1">
        <v>7484137.5</v>
      </c>
      <c r="AB2735" s="1" t="s">
        <v>2122</v>
      </c>
      <c r="AC2735" s="5">
        <v>42648</v>
      </c>
      <c r="AF2735" s="1">
        <v>10007</v>
      </c>
      <c r="AJ2735" s="1">
        <v>2016</v>
      </c>
      <c r="AK2735" s="1" t="s">
        <v>50</v>
      </c>
      <c r="AL2735" s="1">
        <v>157</v>
      </c>
    </row>
    <row r="2736" spans="1:38" x14ac:dyDescent="0.2">
      <c r="A2736" s="2" t="str">
        <f>HYPERLINK("https://www.compass.com/listing/30-park-place-unit-60b-manhattan-ny-10007/29357581638048289/","30 Park Pl, Unit 60B")</f>
        <v>30 Park Pl, Unit 60B</v>
      </c>
      <c r="B2736" s="2" t="str">
        <f t="shared" si="441"/>
        <v>30 Park Pl</v>
      </c>
      <c r="C2736" s="1" t="s">
        <v>40</v>
      </c>
      <c r="D2736" s="1" t="s">
        <v>41</v>
      </c>
      <c r="E2736" s="3">
        <v>7178663</v>
      </c>
      <c r="F2736" s="1">
        <v>3243.8601446000898</v>
      </c>
      <c r="H2736" s="1">
        <v>3</v>
      </c>
      <c r="J2736" s="1">
        <v>3.5</v>
      </c>
      <c r="M2736" s="4">
        <v>2213</v>
      </c>
      <c r="N2736" s="1">
        <v>1813</v>
      </c>
      <c r="O2736" s="1">
        <v>6436</v>
      </c>
      <c r="P2736" s="1">
        <v>4623</v>
      </c>
      <c r="Q2736" s="1" t="s">
        <v>42</v>
      </c>
      <c r="S2736" s="1" t="s">
        <v>42</v>
      </c>
      <c r="T2736" s="1" t="s">
        <v>203</v>
      </c>
      <c r="AA2736" s="1">
        <v>7178662.5</v>
      </c>
      <c r="AB2736" s="1" t="s">
        <v>2123</v>
      </c>
      <c r="AC2736" s="5">
        <v>42768</v>
      </c>
      <c r="AF2736" s="1">
        <v>10007</v>
      </c>
      <c r="AJ2736" s="1">
        <v>2016</v>
      </c>
      <c r="AK2736" s="1" t="s">
        <v>50</v>
      </c>
      <c r="AL2736" s="1">
        <v>157</v>
      </c>
    </row>
    <row r="2737" spans="1:38" x14ac:dyDescent="0.2">
      <c r="A2737" s="2" t="str">
        <f>HYPERLINK("https://www.compass.com/listing/30-park-place-unit-62d-manhattan-ny-10007/29357584624392785/","30 Park Pl, Unit 62D")</f>
        <v>30 Park Pl, Unit 62D</v>
      </c>
      <c r="B2737" s="2" t="str">
        <f t="shared" si="441"/>
        <v>30 Park Pl</v>
      </c>
      <c r="C2737" s="1" t="s">
        <v>40</v>
      </c>
      <c r="D2737" s="1" t="s">
        <v>41</v>
      </c>
      <c r="E2737" s="3">
        <v>5116706</v>
      </c>
      <c r="F2737" s="1">
        <v>3326.8571196358898</v>
      </c>
      <c r="H2737" s="1">
        <v>2</v>
      </c>
      <c r="J2737" s="1">
        <v>2.5</v>
      </c>
      <c r="M2737" s="4">
        <v>1538</v>
      </c>
      <c r="N2737" s="1">
        <v>1270</v>
      </c>
      <c r="O2737" s="1">
        <v>4508</v>
      </c>
      <c r="P2737" s="1">
        <v>3238</v>
      </c>
      <c r="Q2737" s="1" t="s">
        <v>42</v>
      </c>
      <c r="S2737" s="1" t="s">
        <v>42</v>
      </c>
      <c r="T2737" s="1" t="s">
        <v>203</v>
      </c>
      <c r="AA2737" s="1">
        <v>5116706.25</v>
      </c>
      <c r="AB2737" s="1" t="s">
        <v>2124</v>
      </c>
      <c r="AC2737" s="5">
        <v>42760</v>
      </c>
      <c r="AF2737" s="1">
        <v>10007</v>
      </c>
      <c r="AJ2737" s="1">
        <v>2016</v>
      </c>
      <c r="AK2737" s="1" t="s">
        <v>50</v>
      </c>
      <c r="AL2737" s="1">
        <v>157</v>
      </c>
    </row>
    <row r="2738" spans="1:38" x14ac:dyDescent="0.2">
      <c r="A2738" s="2" t="str">
        <f>HYPERLINK("https://www.compass.com/listing/30-park-place-unit-63d-manhattan-ny-10007/29357585345908033/","30 Park Pl, Unit 63D")</f>
        <v>30 Park Pl, Unit 63D</v>
      </c>
      <c r="B2738" s="2" t="str">
        <f t="shared" si="441"/>
        <v>30 Park Pl</v>
      </c>
      <c r="C2738" s="1" t="s">
        <v>40</v>
      </c>
      <c r="D2738" s="1" t="s">
        <v>41</v>
      </c>
      <c r="E2738" s="3">
        <v>5462911</v>
      </c>
      <c r="F2738" s="1">
        <v>3551.9578998699599</v>
      </c>
      <c r="H2738" s="1">
        <v>2</v>
      </c>
      <c r="J2738" s="1">
        <v>2.5</v>
      </c>
      <c r="M2738" s="4">
        <v>1538</v>
      </c>
      <c r="N2738" s="1">
        <v>1272</v>
      </c>
      <c r="O2738" s="1">
        <v>4515</v>
      </c>
      <c r="P2738" s="1">
        <v>3243</v>
      </c>
      <c r="Q2738" s="1" t="s">
        <v>42</v>
      </c>
      <c r="S2738" s="1" t="s">
        <v>42</v>
      </c>
      <c r="T2738" s="1" t="s">
        <v>203</v>
      </c>
      <c r="AA2738" s="1">
        <v>5462911.25</v>
      </c>
      <c r="AB2738" s="1" t="s">
        <v>2125</v>
      </c>
      <c r="AC2738" s="5">
        <v>42783</v>
      </c>
      <c r="AF2738" s="1">
        <v>10007</v>
      </c>
      <c r="AJ2738" s="1">
        <v>2016</v>
      </c>
      <c r="AK2738" s="1" t="s">
        <v>50</v>
      </c>
      <c r="AL2738" s="1">
        <v>157</v>
      </c>
    </row>
    <row r="2739" spans="1:38" x14ac:dyDescent="0.2">
      <c r="A2739" s="2" t="str">
        <f>HYPERLINK("https://www.compass.com/listing/30-park-place-unit-67b-manhattan-ny-10007/29357589129072161/","30 Park Pl, Unit 67B")</f>
        <v>30 Park Pl, Unit 67B</v>
      </c>
      <c r="B2739" s="2" t="str">
        <f t="shared" si="441"/>
        <v>30 Park Pl</v>
      </c>
      <c r="C2739" s="1" t="s">
        <v>40</v>
      </c>
      <c r="D2739" s="1" t="s">
        <v>41</v>
      </c>
      <c r="E2739" s="3">
        <v>8400000</v>
      </c>
      <c r="F2739" s="1">
        <v>3192.7023945267902</v>
      </c>
      <c r="H2739" s="1">
        <v>3</v>
      </c>
      <c r="J2739" s="1">
        <v>3.5</v>
      </c>
      <c r="M2739" s="4">
        <v>2631</v>
      </c>
      <c r="N2739" s="1">
        <v>2188</v>
      </c>
      <c r="O2739" s="1">
        <v>7765</v>
      </c>
      <c r="P2739" s="1">
        <v>5577</v>
      </c>
      <c r="Q2739" s="1" t="s">
        <v>42</v>
      </c>
      <c r="S2739" s="1" t="s">
        <v>42</v>
      </c>
      <c r="T2739" s="1" t="s">
        <v>203</v>
      </c>
      <c r="AA2739" s="1">
        <v>8400000</v>
      </c>
      <c r="AB2739" s="1" t="s">
        <v>2126</v>
      </c>
      <c r="AC2739" s="5">
        <v>42822</v>
      </c>
      <c r="AF2739" s="1">
        <v>10007</v>
      </c>
      <c r="AJ2739" s="1">
        <v>2016</v>
      </c>
      <c r="AK2739" s="1" t="s">
        <v>50</v>
      </c>
      <c r="AL2739" s="1">
        <v>157</v>
      </c>
    </row>
    <row r="2740" spans="1:38" x14ac:dyDescent="0.2">
      <c r="A2740" s="2" t="str">
        <f>HYPERLINK("https://www.compass.com/listing/30-park-place-unit-73a-manhattan-ny-10007/29357593205935713/","30 Park Pl, Unit 73A")</f>
        <v>30 Park Pl, Unit 73A</v>
      </c>
      <c r="B2740" s="2" t="str">
        <f t="shared" si="441"/>
        <v>30 Park Pl</v>
      </c>
      <c r="C2740" s="1" t="s">
        <v>40</v>
      </c>
      <c r="D2740" s="1" t="s">
        <v>41</v>
      </c>
      <c r="E2740" s="3">
        <v>13600000</v>
      </c>
      <c r="F2740" s="1">
        <v>3676.6693701000199</v>
      </c>
      <c r="M2740" s="4">
        <v>3699</v>
      </c>
      <c r="Q2740" s="1" t="s">
        <v>42</v>
      </c>
      <c r="S2740" s="1" t="s">
        <v>42</v>
      </c>
      <c r="T2740" s="1" t="s">
        <v>203</v>
      </c>
      <c r="AA2740" s="1">
        <v>13600000</v>
      </c>
      <c r="AB2740" s="1" t="s">
        <v>2127</v>
      </c>
      <c r="AC2740" s="5">
        <v>42851</v>
      </c>
      <c r="AF2740" s="1">
        <v>10007</v>
      </c>
      <c r="AJ2740" s="1">
        <v>2016</v>
      </c>
      <c r="AK2740" s="1" t="s">
        <v>50</v>
      </c>
      <c r="AL2740" s="1">
        <v>157</v>
      </c>
    </row>
    <row r="2741" spans="1:38" x14ac:dyDescent="0.2">
      <c r="A2741" s="2" t="str">
        <f>HYPERLINK("https://www.compass.com/listing/30-park-place-unit-75b-manhattan-ny-10007/29357595345030801/","30 Park Pl, Unit 75B")</f>
        <v>30 Park Pl, Unit 75B</v>
      </c>
      <c r="B2741" s="2" t="str">
        <f t="shared" si="441"/>
        <v>30 Park Pl</v>
      </c>
      <c r="C2741" s="1" t="s">
        <v>40</v>
      </c>
      <c r="D2741" s="1" t="s">
        <v>41</v>
      </c>
      <c r="E2741" s="3">
        <v>15843263</v>
      </c>
      <c r="F2741" s="1">
        <v>5076.3417173982698</v>
      </c>
      <c r="M2741" s="4">
        <v>3121</v>
      </c>
      <c r="Q2741" s="1" t="s">
        <v>42</v>
      </c>
      <c r="S2741" s="1" t="s">
        <v>42</v>
      </c>
      <c r="T2741" s="1" t="s">
        <v>203</v>
      </c>
      <c r="AA2741" s="1">
        <v>15843262.5</v>
      </c>
      <c r="AB2741" s="1" t="s">
        <v>2128</v>
      </c>
      <c r="AC2741" s="5">
        <v>42894</v>
      </c>
      <c r="AF2741" s="1">
        <v>10007</v>
      </c>
      <c r="AJ2741" s="1">
        <v>2016</v>
      </c>
      <c r="AK2741" s="1" t="s">
        <v>50</v>
      </c>
      <c r="AL2741" s="1">
        <v>157</v>
      </c>
    </row>
    <row r="2742" spans="1:38" x14ac:dyDescent="0.2">
      <c r="A2742" s="2" t="str">
        <f>HYPERLINK("https://www.compass.com/listing/30-park-place-unit-77a-manhattan-ny-10007/29357596385218209/","30 Park Pl, Unit 77A")</f>
        <v>30 Park Pl, Unit 77A</v>
      </c>
      <c r="B2742" s="2" t="str">
        <f t="shared" si="441"/>
        <v>30 Park Pl</v>
      </c>
      <c r="C2742" s="1" t="s">
        <v>40</v>
      </c>
      <c r="D2742" s="1" t="s">
        <v>41</v>
      </c>
      <c r="E2742" s="3">
        <v>18429688</v>
      </c>
      <c r="F2742" s="1">
        <v>4664.5628954695003</v>
      </c>
      <c r="H2742" s="1">
        <v>4</v>
      </c>
      <c r="J2742" s="1">
        <v>4.5</v>
      </c>
      <c r="M2742" s="4">
        <v>3951</v>
      </c>
      <c r="N2742" s="1">
        <v>3580</v>
      </c>
      <c r="O2742" s="1">
        <v>12705</v>
      </c>
      <c r="P2742" s="1">
        <v>9125</v>
      </c>
      <c r="Q2742" s="1" t="s">
        <v>42</v>
      </c>
      <c r="S2742" s="1" t="s">
        <v>42</v>
      </c>
      <c r="T2742" s="1" t="s">
        <v>203</v>
      </c>
      <c r="AA2742" s="1">
        <v>18429688</v>
      </c>
      <c r="AB2742" s="1" t="s">
        <v>2129</v>
      </c>
      <c r="AC2742" s="5">
        <v>42775</v>
      </c>
      <c r="AF2742" s="1">
        <v>10007</v>
      </c>
      <c r="AJ2742" s="1">
        <v>2016</v>
      </c>
      <c r="AK2742" s="1" t="s">
        <v>50</v>
      </c>
      <c r="AL2742" s="1">
        <v>157</v>
      </c>
    </row>
    <row r="2743" spans="1:38" x14ac:dyDescent="0.2">
      <c r="A2743" s="2" t="str">
        <f>HYPERLINK("https://www.compass.com/listing/15-leonard-street-manhattan-ny-10013/29358760715659457/","15 Leonard St")</f>
        <v>15 Leonard St</v>
      </c>
      <c r="B2743" s="2" t="str">
        <f>HYPERLINK("https://www.compass.com/building/15-leonard-st-manhattan-ny-10013/281917245892885845/","15 Leonard St")</f>
        <v>15 Leonard St</v>
      </c>
      <c r="C2743" s="1" t="s">
        <v>40</v>
      </c>
      <c r="D2743" s="1" t="s">
        <v>41</v>
      </c>
      <c r="E2743" s="3">
        <v>4533454</v>
      </c>
      <c r="F2743" s="1">
        <v>570.53284797382298</v>
      </c>
      <c r="M2743" s="4">
        <v>7946</v>
      </c>
      <c r="Q2743" s="1" t="s">
        <v>42</v>
      </c>
      <c r="S2743" s="1" t="s">
        <v>42</v>
      </c>
      <c r="T2743" s="1" t="s">
        <v>203</v>
      </c>
      <c r="AA2743" s="1">
        <v>4533454.01</v>
      </c>
      <c r="AB2743" s="1" t="s">
        <v>2130</v>
      </c>
      <c r="AC2743" s="5">
        <v>42563</v>
      </c>
      <c r="AF2743" s="1">
        <v>10013</v>
      </c>
      <c r="AI2743" s="1" t="s">
        <v>58</v>
      </c>
      <c r="AJ2743" s="1">
        <v>2014</v>
      </c>
      <c r="AL2743" s="1">
        <v>6</v>
      </c>
    </row>
    <row r="2744" spans="1:38" x14ac:dyDescent="0.2">
      <c r="A2744" s="2" t="str">
        <f>HYPERLINK("https://www.compass.com/listing/27-mercer-street-unit-thph-manhattan-ny-10013/29359656484768897/","27 Mercer St, Unit THPH")</f>
        <v>27 Mercer St, Unit THPH</v>
      </c>
      <c r="B2744" s="2" t="str">
        <f>HYPERLINK("https://www.compass.com/building/27-mercer-st-manhattan-ny-10013/294838142007876469/","27 Mercer St")</f>
        <v>27 Mercer St</v>
      </c>
      <c r="C2744" s="1" t="s">
        <v>913</v>
      </c>
      <c r="D2744" s="1" t="s">
        <v>41</v>
      </c>
      <c r="E2744" s="3">
        <v>16546563</v>
      </c>
      <c r="F2744" s="1">
        <v>3443.6134235171598</v>
      </c>
      <c r="M2744" s="4">
        <v>4805</v>
      </c>
      <c r="Q2744" s="1" t="s">
        <v>42</v>
      </c>
      <c r="S2744" s="1" t="s">
        <v>42</v>
      </c>
      <c r="T2744" s="1" t="s">
        <v>203</v>
      </c>
      <c r="AA2744" s="1">
        <v>16546562.5</v>
      </c>
      <c r="AB2744" s="1" t="s">
        <v>2131</v>
      </c>
      <c r="AC2744" s="5">
        <v>42837</v>
      </c>
      <c r="AF2744" s="1">
        <v>10013</v>
      </c>
      <c r="AI2744" s="1" t="s">
        <v>58</v>
      </c>
    </row>
    <row r="2745" spans="1:38" x14ac:dyDescent="0.2">
      <c r="A2745" s="2" t="str">
        <f>HYPERLINK("https://www.compass.com/listing/189-avenue-c-unit-2b-manhattan-ny-10009/29361143919225921/","189 Avenue C, Unit 2B")</f>
        <v>189 Avenue C, Unit 2B</v>
      </c>
      <c r="B2745" s="2" t="str">
        <f>HYPERLINK("https://www.compass.com/building/the-calyx-manhattan-ny/426959097439640773/","The Calyx")</f>
        <v>The Calyx</v>
      </c>
      <c r="C2745" s="1" t="s">
        <v>88</v>
      </c>
      <c r="D2745" s="1" t="s">
        <v>41</v>
      </c>
      <c r="E2745" s="3">
        <v>830000</v>
      </c>
      <c r="F2745" s="1">
        <v>973.03634232121897</v>
      </c>
      <c r="M2745" s="1">
        <v>853</v>
      </c>
      <c r="Q2745" s="1" t="s">
        <v>42</v>
      </c>
      <c r="S2745" s="1" t="s">
        <v>42</v>
      </c>
      <c r="T2745" s="1" t="s">
        <v>203</v>
      </c>
      <c r="AA2745" s="1">
        <v>830000</v>
      </c>
      <c r="AB2745" s="1" t="s">
        <v>2132</v>
      </c>
      <c r="AC2745" s="5">
        <v>42482</v>
      </c>
      <c r="AF2745" s="1">
        <v>10009</v>
      </c>
      <c r="AI2745" s="1" t="s">
        <v>73</v>
      </c>
      <c r="AJ2745" s="1">
        <v>2011</v>
      </c>
      <c r="AL2745" s="1">
        <v>35</v>
      </c>
    </row>
    <row r="2746" spans="1:38" x14ac:dyDescent="0.2">
      <c r="A2746" s="2" t="str">
        <f>HYPERLINK("https://www.compass.com/listing/509-east-6th-street-unit-4r-manhattan-ny-10009/29361256737617825/","509 E 6th St, Unit 4R")</f>
        <v>509 E 6th St, Unit 4R</v>
      </c>
      <c r="B2746" s="2" t="str">
        <f>HYPERLINK("https://www.compass.com/building/the-tortola-condominium-manhattan-ny/281900474909603893/","The Tortola Condominium")</f>
        <v>The Tortola Condominium</v>
      </c>
      <c r="C2746" s="1" t="s">
        <v>88</v>
      </c>
      <c r="D2746" s="1" t="s">
        <v>41</v>
      </c>
      <c r="E2746" s="3">
        <v>834965</v>
      </c>
      <c r="F2746" s="1">
        <v>1308.7225705329099</v>
      </c>
      <c r="M2746" s="1">
        <v>638</v>
      </c>
      <c r="Q2746" s="1" t="s">
        <v>42</v>
      </c>
      <c r="S2746" s="1" t="s">
        <v>42</v>
      </c>
      <c r="T2746" s="1" t="s">
        <v>203</v>
      </c>
      <c r="AA2746" s="1">
        <v>834965</v>
      </c>
      <c r="AB2746" s="1" t="s">
        <v>2133</v>
      </c>
      <c r="AC2746" s="5">
        <v>42356</v>
      </c>
      <c r="AF2746" s="1">
        <v>10009</v>
      </c>
      <c r="AJ2746" s="1">
        <v>1920</v>
      </c>
      <c r="AL2746" s="1">
        <v>8</v>
      </c>
    </row>
    <row r="2747" spans="1:38" x14ac:dyDescent="0.2">
      <c r="A2747" s="2" t="str">
        <f>HYPERLINK("https://www.compass.com/listing/430-broome-street-unit-4-manhattan-ny-10012/29362660747320593/","430 Broome St, Unit 4")</f>
        <v>430 Broome St, Unit 4</v>
      </c>
      <c r="B2747" s="2" t="str">
        <f>HYPERLINK("https://www.compass.com/building/430-broome-st-manhattan-ny-10012/281919807043964549/","430 Broome St")</f>
        <v>430 Broome St</v>
      </c>
      <c r="C2747" s="1" t="s">
        <v>913</v>
      </c>
      <c r="D2747" s="1" t="s">
        <v>41</v>
      </c>
      <c r="E2747" s="3">
        <v>2952925</v>
      </c>
      <c r="F2747" s="1">
        <v>1535.5824232969301</v>
      </c>
      <c r="M2747" s="4">
        <v>1923</v>
      </c>
      <c r="Q2747" s="1" t="s">
        <v>42</v>
      </c>
      <c r="S2747" s="1" t="s">
        <v>42</v>
      </c>
      <c r="T2747" s="1" t="s">
        <v>203</v>
      </c>
      <c r="AA2747" s="1">
        <v>2952925</v>
      </c>
      <c r="AB2747" s="1" t="s">
        <v>2134</v>
      </c>
      <c r="AC2747" s="5">
        <v>42061</v>
      </c>
      <c r="AF2747" s="1">
        <v>10012</v>
      </c>
      <c r="AJ2747" s="1">
        <v>1900</v>
      </c>
      <c r="AL2747" s="1">
        <v>5</v>
      </c>
    </row>
    <row r="2748" spans="1:38" x14ac:dyDescent="0.2">
      <c r="A2748" s="2" t="str">
        <f>HYPERLINK("https://www.compass.com/listing/20-renwick-street-unit-7-manhattan-ny-10013/29366657449299409/","20 Renwick St, Unit 7")</f>
        <v>20 Renwick St, Unit 7</v>
      </c>
      <c r="B2748" s="2" t="str">
        <f>HYPERLINK("https://www.compass.com/building/20-renwick-st-manhattan-ny-10013/281918112016662197/","20 Renwick St")</f>
        <v>20 Renwick St</v>
      </c>
      <c r="C2748" s="1" t="s">
        <v>1054</v>
      </c>
      <c r="D2748" s="1" t="s">
        <v>41</v>
      </c>
      <c r="E2748" s="3">
        <v>650000</v>
      </c>
      <c r="F2748" s="1">
        <v>1221.8045112781899</v>
      </c>
      <c r="M2748" s="1">
        <v>532</v>
      </c>
      <c r="Q2748" s="1" t="s">
        <v>42</v>
      </c>
      <c r="S2748" s="1" t="s">
        <v>42</v>
      </c>
      <c r="T2748" s="1" t="s">
        <v>203</v>
      </c>
      <c r="AA2748" s="1">
        <v>650000</v>
      </c>
      <c r="AB2748" s="1" t="s">
        <v>2135</v>
      </c>
      <c r="AC2748" s="5">
        <v>39351</v>
      </c>
      <c r="AF2748" s="1">
        <v>10013</v>
      </c>
      <c r="AI2748" s="1" t="s">
        <v>73</v>
      </c>
      <c r="AJ2748" s="1">
        <v>1890</v>
      </c>
      <c r="AL2748" s="1">
        <v>10</v>
      </c>
    </row>
    <row r="2749" spans="1:38" x14ac:dyDescent="0.2">
      <c r="A2749" s="2" t="str">
        <f>HYPERLINK("https://www.compass.com/listing/275-west-10th-street-unit-mg-manhattan-ny-10014/29368588867485857/","275 W 10th St, Unit MG")</f>
        <v>275 W 10th St, Unit MG</v>
      </c>
      <c r="B2749" s="2" t="str">
        <f t="shared" ref="B2749:B2752" si="442">HYPERLINK("https://www.compass.com/building/the-shephard-manhattan-ny/281931968864632917/","The Shephard")</f>
        <v>The Shephard</v>
      </c>
      <c r="C2749" s="1" t="s">
        <v>68</v>
      </c>
      <c r="D2749" s="1" t="s">
        <v>41</v>
      </c>
      <c r="E2749" s="3">
        <v>2138325</v>
      </c>
      <c r="F2749" s="1">
        <v>1199.95791245791</v>
      </c>
      <c r="M2749" s="4">
        <v>1782</v>
      </c>
      <c r="Q2749" s="1" t="s">
        <v>42</v>
      </c>
      <c r="S2749" s="1" t="s">
        <v>42</v>
      </c>
      <c r="T2749" s="1" t="s">
        <v>203</v>
      </c>
      <c r="AA2749" s="1">
        <v>2138325</v>
      </c>
      <c r="AB2749" s="1" t="s">
        <v>2136</v>
      </c>
      <c r="AC2749" s="5">
        <v>43021</v>
      </c>
      <c r="AF2749" s="1">
        <v>10014</v>
      </c>
      <c r="AI2749" s="1" t="s">
        <v>67</v>
      </c>
      <c r="AJ2749" s="1">
        <v>2015</v>
      </c>
      <c r="AK2749" s="1" t="s">
        <v>55</v>
      </c>
      <c r="AL2749" s="1">
        <v>38</v>
      </c>
    </row>
    <row r="2750" spans="1:38" x14ac:dyDescent="0.2">
      <c r="A2750" s="2" t="str">
        <f>HYPERLINK("https://www.compass.com/listing/275-west-10th-street-unit-mb-manhattan-ny-10014/29368589194683121/","275 W 10th St, Unit MB")</f>
        <v>275 W 10th St, Unit MB</v>
      </c>
      <c r="B2750" s="2" t="str">
        <f t="shared" si="442"/>
        <v>The Shephard</v>
      </c>
      <c r="C2750" s="1" t="s">
        <v>68</v>
      </c>
      <c r="D2750" s="1" t="s">
        <v>41</v>
      </c>
      <c r="E2750" s="3">
        <v>4862144</v>
      </c>
      <c r="F2750" s="1">
        <v>2602.86067987152</v>
      </c>
      <c r="M2750" s="4">
        <v>1868</v>
      </c>
      <c r="Q2750" s="1" t="s">
        <v>42</v>
      </c>
      <c r="S2750" s="1" t="s">
        <v>42</v>
      </c>
      <c r="T2750" s="1" t="s">
        <v>203</v>
      </c>
      <c r="AA2750" s="1">
        <v>4862143.75</v>
      </c>
      <c r="AB2750" s="1" t="s">
        <v>2137</v>
      </c>
      <c r="AC2750" s="5">
        <v>43041</v>
      </c>
      <c r="AF2750" s="1">
        <v>10014</v>
      </c>
      <c r="AI2750" s="1" t="s">
        <v>67</v>
      </c>
      <c r="AJ2750" s="1">
        <v>2015</v>
      </c>
      <c r="AK2750" s="1" t="s">
        <v>55</v>
      </c>
      <c r="AL2750" s="1">
        <v>38</v>
      </c>
    </row>
    <row r="2751" spans="1:38" x14ac:dyDescent="0.2">
      <c r="A2751" s="2" t="str">
        <f>HYPERLINK("https://www.compass.com/listing/275-west-10th-street-unit-md-manhattan-ny-10014/29368589471510721/","275 W 10th St, Unit MD")</f>
        <v>275 W 10th St, Unit MD</v>
      </c>
      <c r="B2751" s="2" t="str">
        <f t="shared" si="442"/>
        <v>The Shephard</v>
      </c>
      <c r="C2751" s="1" t="s">
        <v>68</v>
      </c>
      <c r="D2751" s="1" t="s">
        <v>41</v>
      </c>
      <c r="E2751" s="3">
        <v>1190000</v>
      </c>
      <c r="F2751" s="1">
        <v>2423.62525458248</v>
      </c>
      <c r="M2751" s="1">
        <v>491</v>
      </c>
      <c r="Q2751" s="1" t="s">
        <v>42</v>
      </c>
      <c r="S2751" s="1" t="s">
        <v>42</v>
      </c>
      <c r="T2751" s="1" t="s">
        <v>203</v>
      </c>
      <c r="AA2751" s="1">
        <v>1190000</v>
      </c>
      <c r="AB2751" s="1" t="s">
        <v>2138</v>
      </c>
      <c r="AC2751" s="5">
        <v>43166</v>
      </c>
      <c r="AF2751" s="1">
        <v>10014</v>
      </c>
      <c r="AI2751" s="1" t="s">
        <v>67</v>
      </c>
      <c r="AJ2751" s="1">
        <v>2015</v>
      </c>
      <c r="AK2751" s="1" t="s">
        <v>55</v>
      </c>
      <c r="AL2751" s="1">
        <v>38</v>
      </c>
    </row>
    <row r="2752" spans="1:38" x14ac:dyDescent="0.2">
      <c r="A2752" s="2" t="str">
        <f>HYPERLINK("https://www.compass.com/listing/275-west-10th-street-unit-8n-manhattan-ny-10014/29368597918835617/","275 W 10th St, Unit 8N")</f>
        <v>275 W 10th St, Unit 8N</v>
      </c>
      <c r="B2752" s="2" t="str">
        <f t="shared" si="442"/>
        <v>The Shephard</v>
      </c>
      <c r="C2752" s="1" t="s">
        <v>68</v>
      </c>
      <c r="D2752" s="1" t="s">
        <v>41</v>
      </c>
      <c r="E2752" s="3">
        <v>981593</v>
      </c>
      <c r="F2752" s="1">
        <v>1018.25</v>
      </c>
      <c r="M2752" s="1">
        <v>964</v>
      </c>
      <c r="Q2752" s="1" t="s">
        <v>42</v>
      </c>
      <c r="S2752" s="1" t="s">
        <v>42</v>
      </c>
      <c r="T2752" s="1" t="s">
        <v>203</v>
      </c>
      <c r="AA2752" s="1">
        <v>981593</v>
      </c>
      <c r="AB2752" s="1" t="s">
        <v>2139</v>
      </c>
      <c r="AC2752" s="5">
        <v>42850</v>
      </c>
      <c r="AF2752" s="1">
        <v>10014</v>
      </c>
      <c r="AI2752" s="1" t="s">
        <v>67</v>
      </c>
      <c r="AJ2752" s="1">
        <v>2015</v>
      </c>
      <c r="AK2752" s="1" t="s">
        <v>55</v>
      </c>
      <c r="AL2752" s="1">
        <v>38</v>
      </c>
    </row>
    <row r="2753" spans="1:38" x14ac:dyDescent="0.2">
      <c r="A2753" s="2" t="str">
        <f>HYPERLINK("https://www.compass.com/listing/421-west-22nd-street-unit-3r-manhattan-ny-10011/29370278156964401/","421 W 22nd St, Unit 3R")</f>
        <v>421 W 22nd St, Unit 3R</v>
      </c>
      <c r="B2753" s="2" t="str">
        <f>HYPERLINK("https://www.compass.com/building/421-w-22nd-st-manhattan-ny-10011/281910201349594997/","421 W 22nd St")</f>
        <v>421 W 22nd St</v>
      </c>
      <c r="C2753" s="1" t="s">
        <v>62</v>
      </c>
      <c r="D2753" s="1" t="s">
        <v>41</v>
      </c>
      <c r="E2753" s="3">
        <v>610950</v>
      </c>
      <c r="F2753" s="1">
        <v>1366.77852348993</v>
      </c>
      <c r="M2753" s="1">
        <v>447</v>
      </c>
      <c r="Q2753" s="1" t="s">
        <v>42</v>
      </c>
      <c r="S2753" s="1" t="s">
        <v>42</v>
      </c>
      <c r="T2753" s="1" t="s">
        <v>203</v>
      </c>
      <c r="AA2753" s="1">
        <v>610950</v>
      </c>
      <c r="AB2753" s="1" t="s">
        <v>2140</v>
      </c>
      <c r="AC2753" s="5">
        <v>42039</v>
      </c>
      <c r="AF2753" s="1">
        <v>10011</v>
      </c>
      <c r="AI2753" s="1" t="s">
        <v>73</v>
      </c>
      <c r="AJ2753" s="1">
        <v>1900</v>
      </c>
      <c r="AL2753" s="1">
        <v>8</v>
      </c>
    </row>
    <row r="2754" spans="1:38" x14ac:dyDescent="0.2">
      <c r="A2754" s="2" t="str">
        <f>HYPERLINK("https://www.compass.com/listing/34-west-17th-street-unit-10-manhattan-ny-10011/29374429351964129/","34 W 17th St, Unit 10")</f>
        <v>34 W 17th St, Unit 10</v>
      </c>
      <c r="B2754" s="2" t="str">
        <f>HYPERLINK("https://www.compass.com/building/the-paperbox-building-manhattan-ny/281909156036761877/","The Paperbox Building")</f>
        <v>The Paperbox Building</v>
      </c>
      <c r="C2754" s="1" t="s">
        <v>358</v>
      </c>
      <c r="D2754" s="1" t="s">
        <v>41</v>
      </c>
      <c r="E2754" s="3">
        <v>5375000</v>
      </c>
      <c r="F2754" s="1">
        <v>2311.8279569892402</v>
      </c>
      <c r="M2754" s="4">
        <v>2325</v>
      </c>
      <c r="Q2754" s="1" t="s">
        <v>42</v>
      </c>
      <c r="S2754" s="1" t="s">
        <v>42</v>
      </c>
      <c r="T2754" s="1" t="s">
        <v>203</v>
      </c>
      <c r="AA2754" s="1">
        <v>5375000</v>
      </c>
      <c r="AB2754" s="1" t="s">
        <v>2141</v>
      </c>
      <c r="AC2754" s="5">
        <v>42837</v>
      </c>
      <c r="AF2754" s="1">
        <v>10011</v>
      </c>
      <c r="AJ2754" s="1">
        <v>1910</v>
      </c>
      <c r="AK2754" s="1" t="s">
        <v>94</v>
      </c>
      <c r="AL2754" s="1">
        <v>9</v>
      </c>
    </row>
    <row r="2755" spans="1:38" x14ac:dyDescent="0.2">
      <c r="A2755" s="2" t="str">
        <f>HYPERLINK("https://www.compass.com/listing/237-east-24th-street-unit-1e-manhattan-ny-10010/29380779863722817/","237 E 24th St, Unit 1E")</f>
        <v>237 E 24th St, Unit 1E</v>
      </c>
      <c r="B2755" s="2" t="str">
        <f t="shared" ref="B2755:B2760" si="443">HYPERLINK("https://www.compass.com/building/237-e-24th-st-manhattan-ny-10010/281902461373925173/","237 E 24th St")</f>
        <v>237 E 24th St</v>
      </c>
      <c r="C2755" s="1" t="s">
        <v>1214</v>
      </c>
      <c r="D2755" s="1" t="s">
        <v>41</v>
      </c>
      <c r="E2755" s="3">
        <v>405600</v>
      </c>
      <c r="F2755" s="1">
        <v>958.86524822695003</v>
      </c>
      <c r="M2755" s="1">
        <v>423</v>
      </c>
      <c r="Q2755" s="1" t="s">
        <v>42</v>
      </c>
      <c r="S2755" s="1" t="s">
        <v>42</v>
      </c>
      <c r="T2755" s="1" t="s">
        <v>203</v>
      </c>
      <c r="AA2755" s="1">
        <v>405600</v>
      </c>
      <c r="AB2755" s="1" t="s">
        <v>2142</v>
      </c>
      <c r="AC2755" s="5">
        <v>41564</v>
      </c>
      <c r="AF2755" s="1">
        <v>10010</v>
      </c>
      <c r="AI2755" s="1" t="s">
        <v>58</v>
      </c>
      <c r="AJ2755" s="1">
        <v>1900</v>
      </c>
      <c r="AL2755" s="1">
        <v>18</v>
      </c>
    </row>
    <row r="2756" spans="1:38" x14ac:dyDescent="0.2">
      <c r="A2756" s="2" t="str">
        <f>HYPERLINK("https://www.compass.com/listing/237-east-24th-street-unit-2w-manhattan-ny-10010/29380780148927041/","237 E 24th St, Unit 2W")</f>
        <v>237 E 24th St, Unit 2W</v>
      </c>
      <c r="B2756" s="2" t="str">
        <f t="shared" si="443"/>
        <v>237 E 24th St</v>
      </c>
      <c r="C2756" s="1" t="s">
        <v>1214</v>
      </c>
      <c r="D2756" s="1" t="s">
        <v>41</v>
      </c>
      <c r="E2756" s="3">
        <v>595676</v>
      </c>
      <c r="F2756" s="1">
        <v>1286.5577753779601</v>
      </c>
      <c r="M2756" s="1">
        <v>463</v>
      </c>
      <c r="Q2756" s="1" t="s">
        <v>42</v>
      </c>
      <c r="S2756" s="1" t="s">
        <v>42</v>
      </c>
      <c r="T2756" s="1" t="s">
        <v>203</v>
      </c>
      <c r="AA2756" s="1">
        <v>595676.25</v>
      </c>
      <c r="AB2756" s="1" t="s">
        <v>2143</v>
      </c>
      <c r="AC2756" s="5">
        <v>41759</v>
      </c>
      <c r="AF2756" s="1">
        <v>10010</v>
      </c>
      <c r="AI2756" s="1" t="s">
        <v>58</v>
      </c>
      <c r="AJ2756" s="1">
        <v>1900</v>
      </c>
      <c r="AL2756" s="1">
        <v>18</v>
      </c>
    </row>
    <row r="2757" spans="1:38" x14ac:dyDescent="0.2">
      <c r="A2757" s="2" t="str">
        <f>HYPERLINK("https://www.compass.com/listing/237-east-24th-street-unit-2e-manhattan-ny-10010/29380780484547857/","237 E 24th St, Unit 2E")</f>
        <v>237 E 24th St, Unit 2E</v>
      </c>
      <c r="B2757" s="2" t="str">
        <f t="shared" si="443"/>
        <v>237 E 24th St</v>
      </c>
      <c r="C2757" s="1" t="s">
        <v>1214</v>
      </c>
      <c r="D2757" s="1" t="s">
        <v>41</v>
      </c>
      <c r="E2757" s="3">
        <v>610950</v>
      </c>
      <c r="F2757" s="1">
        <v>1313.8709677419299</v>
      </c>
      <c r="H2757" s="1">
        <v>1</v>
      </c>
      <c r="J2757" s="1">
        <v>1</v>
      </c>
      <c r="K2757" s="1">
        <v>1</v>
      </c>
      <c r="M2757" s="1">
        <v>465</v>
      </c>
      <c r="N2757" s="1">
        <v>456</v>
      </c>
      <c r="O2757" s="1">
        <v>807</v>
      </c>
      <c r="P2757" s="1">
        <v>351</v>
      </c>
      <c r="Q2757" s="1" t="s">
        <v>42</v>
      </c>
      <c r="S2757" s="1" t="s">
        <v>42</v>
      </c>
      <c r="T2757" s="1" t="s">
        <v>203</v>
      </c>
      <c r="AA2757" s="1">
        <v>610950</v>
      </c>
      <c r="AB2757" s="1" t="s">
        <v>2144</v>
      </c>
      <c r="AC2757" s="5">
        <v>41666</v>
      </c>
      <c r="AF2757" s="1">
        <v>10010</v>
      </c>
      <c r="AI2757" s="1" t="s">
        <v>58</v>
      </c>
      <c r="AJ2757" s="1">
        <v>1900</v>
      </c>
      <c r="AL2757" s="1">
        <v>18</v>
      </c>
    </row>
    <row r="2758" spans="1:38" x14ac:dyDescent="0.2">
      <c r="A2758" s="2" t="str">
        <f>HYPERLINK("https://www.compass.com/listing/237-east-24th-street-unit-3e-manhattan-ny-10010/29380781088451153/","237 E 24th St, Unit 3E")</f>
        <v>237 E 24th St, Unit 3E</v>
      </c>
      <c r="B2758" s="2" t="str">
        <f t="shared" si="443"/>
        <v>237 E 24th St</v>
      </c>
      <c r="C2758" s="1" t="s">
        <v>1214</v>
      </c>
      <c r="D2758" s="1" t="s">
        <v>41</v>
      </c>
      <c r="E2758" s="3">
        <v>600429</v>
      </c>
      <c r="F2758" s="1">
        <v>1282.9687606837599</v>
      </c>
      <c r="M2758" s="1">
        <v>468</v>
      </c>
      <c r="Q2758" s="1" t="s">
        <v>42</v>
      </c>
      <c r="S2758" s="1" t="s">
        <v>42</v>
      </c>
      <c r="T2758" s="1" t="s">
        <v>203</v>
      </c>
      <c r="AA2758" s="1">
        <v>600429.38</v>
      </c>
      <c r="AB2758" s="1" t="s">
        <v>2145</v>
      </c>
      <c r="AC2758" s="5">
        <v>41722</v>
      </c>
      <c r="AF2758" s="1">
        <v>10010</v>
      </c>
      <c r="AI2758" s="1" t="s">
        <v>58</v>
      </c>
      <c r="AJ2758" s="1">
        <v>1900</v>
      </c>
      <c r="AL2758" s="1">
        <v>18</v>
      </c>
    </row>
    <row r="2759" spans="1:38" x14ac:dyDescent="0.2">
      <c r="A2759" s="2" t="str">
        <f>HYPERLINK("https://www.compass.com/listing/237-east-24th-street-unit-1r-manhattan-ny-10010/29380782430704945/","237 E 24th St, Unit 1R")</f>
        <v>237 E 24th St, Unit 1R</v>
      </c>
      <c r="B2759" s="2" t="str">
        <f t="shared" si="443"/>
        <v>237 E 24th St</v>
      </c>
      <c r="C2759" s="1" t="s">
        <v>1214</v>
      </c>
      <c r="D2759" s="1" t="s">
        <v>41</v>
      </c>
      <c r="E2759" s="3">
        <v>560038</v>
      </c>
      <c r="F2759" s="1">
        <v>1269.92630385487</v>
      </c>
      <c r="M2759" s="1">
        <v>441</v>
      </c>
      <c r="Q2759" s="1" t="s">
        <v>42</v>
      </c>
      <c r="S2759" s="1" t="s">
        <v>42</v>
      </c>
      <c r="T2759" s="1" t="s">
        <v>203</v>
      </c>
      <c r="AA2759" s="1">
        <v>560037.5</v>
      </c>
      <c r="AB2759" s="1" t="s">
        <v>2146</v>
      </c>
      <c r="AC2759" s="5">
        <v>41726</v>
      </c>
      <c r="AF2759" s="1">
        <v>10010</v>
      </c>
      <c r="AI2759" s="1" t="s">
        <v>58</v>
      </c>
      <c r="AJ2759" s="1">
        <v>1900</v>
      </c>
      <c r="AL2759" s="1">
        <v>18</v>
      </c>
    </row>
    <row r="2760" spans="1:38" x14ac:dyDescent="0.2">
      <c r="A2760" s="2" t="str">
        <f>HYPERLINK("https://www.compass.com/listing/237-east-24th-street-unit-2r-manhattan-ny-10010/29380782732626801/","237 E 24th St, Unit 2R")</f>
        <v>237 E 24th St, Unit 2R</v>
      </c>
      <c r="B2760" s="2" t="str">
        <f t="shared" si="443"/>
        <v>237 E 24th St</v>
      </c>
      <c r="C2760" s="1" t="s">
        <v>1214</v>
      </c>
      <c r="D2760" s="1" t="s">
        <v>41</v>
      </c>
      <c r="E2760" s="3">
        <v>520080</v>
      </c>
      <c r="F2760" s="1">
        <v>1259.27360774818</v>
      </c>
      <c r="M2760" s="1">
        <v>413</v>
      </c>
      <c r="Q2760" s="1" t="s">
        <v>42</v>
      </c>
      <c r="S2760" s="1" t="s">
        <v>42</v>
      </c>
      <c r="T2760" s="1" t="s">
        <v>203</v>
      </c>
      <c r="AA2760" s="1">
        <v>520080</v>
      </c>
      <c r="AB2760" s="1" t="s">
        <v>2147</v>
      </c>
      <c r="AC2760" s="5">
        <v>41779</v>
      </c>
      <c r="AF2760" s="1">
        <v>10010</v>
      </c>
      <c r="AI2760" s="1" t="s">
        <v>58</v>
      </c>
      <c r="AJ2760" s="1">
        <v>1900</v>
      </c>
      <c r="AL2760" s="1">
        <v>18</v>
      </c>
    </row>
    <row r="2761" spans="1:38" x14ac:dyDescent="0.2">
      <c r="A2761" s="2" t="str">
        <f>HYPERLINK("https://www.compass.com/listing/301-west-53rd-street-unit-5g-manhattan-ny-10019/29388113797255441/","301 W 53rd St, Unit 5G")</f>
        <v>301 W 53rd St, Unit 5G</v>
      </c>
      <c r="B2761" s="2" t="str">
        <f t="shared" ref="B2761:B2795" si="444">HYPERLINK("https://www.compass.com/building/fifty-third-and-eighth-manhattan-ny/281944545158031557/","Fifty Third and Eighth")</f>
        <v>Fifty Third and Eighth</v>
      </c>
      <c r="C2761" s="1" t="s">
        <v>57</v>
      </c>
      <c r="D2761" s="1" t="s">
        <v>41</v>
      </c>
      <c r="E2761" s="3">
        <v>978477</v>
      </c>
      <c r="F2761" s="1">
        <v>1443.1817109144499</v>
      </c>
      <c r="M2761" s="1">
        <v>678</v>
      </c>
      <c r="Q2761" s="1" t="s">
        <v>42</v>
      </c>
      <c r="S2761" s="1" t="s">
        <v>42</v>
      </c>
      <c r="T2761" s="1" t="s">
        <v>203</v>
      </c>
      <c r="AA2761" s="1">
        <v>978477.2</v>
      </c>
      <c r="AB2761" s="1" t="s">
        <v>2148</v>
      </c>
      <c r="AC2761" s="5">
        <v>42292</v>
      </c>
      <c r="AF2761" s="1">
        <v>10019</v>
      </c>
      <c r="AI2761" s="1" t="s">
        <v>76</v>
      </c>
      <c r="AJ2761" s="1">
        <v>2017</v>
      </c>
      <c r="AK2761" s="1" t="s">
        <v>50</v>
      </c>
      <c r="AL2761" s="1">
        <v>248</v>
      </c>
    </row>
    <row r="2762" spans="1:38" x14ac:dyDescent="0.2">
      <c r="A2762" s="2" t="str">
        <f>HYPERLINK("https://www.compass.com/listing/301-west-53rd-street-unit-6g-manhattan-ny-10019/29388117882515921/","301 W 53rd St, Unit 6G")</f>
        <v>301 W 53rd St, Unit 6G</v>
      </c>
      <c r="B2762" s="2" t="str">
        <f t="shared" si="444"/>
        <v>Fifty Third and Eighth</v>
      </c>
      <c r="C2762" s="1" t="s">
        <v>57</v>
      </c>
      <c r="D2762" s="1" t="s">
        <v>41</v>
      </c>
      <c r="E2762" s="3">
        <v>992794</v>
      </c>
      <c r="F2762" s="1">
        <v>1464.29756637168</v>
      </c>
      <c r="H2762" s="1">
        <v>1</v>
      </c>
      <c r="J2762" s="1">
        <v>1</v>
      </c>
      <c r="K2762" s="1">
        <v>1</v>
      </c>
      <c r="M2762" s="1">
        <v>678</v>
      </c>
      <c r="N2762" s="1">
        <v>630</v>
      </c>
      <c r="O2762" s="1">
        <v>1706</v>
      </c>
      <c r="P2762" s="1">
        <v>1076</v>
      </c>
      <c r="Q2762" s="1" t="s">
        <v>42</v>
      </c>
      <c r="S2762" s="1" t="s">
        <v>42</v>
      </c>
      <c r="T2762" s="1" t="s">
        <v>203</v>
      </c>
      <c r="AA2762" s="1">
        <v>992793.75</v>
      </c>
      <c r="AB2762" s="1" t="s">
        <v>2149</v>
      </c>
      <c r="AC2762" s="5">
        <v>42179</v>
      </c>
      <c r="AF2762" s="1">
        <v>10019</v>
      </c>
      <c r="AI2762" s="1" t="s">
        <v>76</v>
      </c>
      <c r="AJ2762" s="1">
        <v>2017</v>
      </c>
      <c r="AK2762" s="1" t="s">
        <v>50</v>
      </c>
      <c r="AL2762" s="1">
        <v>248</v>
      </c>
    </row>
    <row r="2763" spans="1:38" x14ac:dyDescent="0.2">
      <c r="A2763" s="2" t="str">
        <f>HYPERLINK("https://www.compass.com/listing/301-west-53rd-street-unit-6h-manhattan-ny-10019/29388118226384609/","301 W 53rd St, Unit 6H")</f>
        <v>301 W 53rd St, Unit 6H</v>
      </c>
      <c r="B2763" s="2" t="str">
        <f t="shared" si="444"/>
        <v>Fifty Third and Eighth</v>
      </c>
      <c r="C2763" s="1" t="s">
        <v>57</v>
      </c>
      <c r="D2763" s="1" t="s">
        <v>41</v>
      </c>
      <c r="E2763" s="3">
        <v>992794</v>
      </c>
      <c r="F2763" s="1">
        <v>1488.4464017990999</v>
      </c>
      <c r="M2763" s="1">
        <v>667</v>
      </c>
      <c r="Q2763" s="1" t="s">
        <v>42</v>
      </c>
      <c r="S2763" s="1" t="s">
        <v>42</v>
      </c>
      <c r="T2763" s="1" t="s">
        <v>203</v>
      </c>
      <c r="AA2763" s="1">
        <v>992793.75</v>
      </c>
      <c r="AB2763" s="1" t="s">
        <v>2150</v>
      </c>
      <c r="AC2763" s="5">
        <v>42272</v>
      </c>
      <c r="AF2763" s="1">
        <v>10019</v>
      </c>
      <c r="AI2763" s="1" t="s">
        <v>76</v>
      </c>
      <c r="AJ2763" s="1">
        <v>2017</v>
      </c>
      <c r="AK2763" s="1" t="s">
        <v>50</v>
      </c>
      <c r="AL2763" s="1">
        <v>248</v>
      </c>
    </row>
    <row r="2764" spans="1:38" x14ac:dyDescent="0.2">
      <c r="A2764" s="2" t="str">
        <f>HYPERLINK("https://www.compass.com/listing/301-west-53rd-street-unit-7j-manhattan-ny-10019/29388123695813105/","301 W 53rd St, Unit 7J")</f>
        <v>301 W 53rd St, Unit 7J</v>
      </c>
      <c r="B2764" s="2" t="str">
        <f t="shared" si="444"/>
        <v>Fifty Third and Eighth</v>
      </c>
      <c r="C2764" s="1" t="s">
        <v>57</v>
      </c>
      <c r="D2764" s="1" t="s">
        <v>41</v>
      </c>
      <c r="E2764" s="3">
        <v>998333</v>
      </c>
      <c r="F2764" s="1">
        <v>1472.4677433628301</v>
      </c>
      <c r="M2764" s="1">
        <v>678</v>
      </c>
      <c r="Q2764" s="1" t="s">
        <v>42</v>
      </c>
      <c r="S2764" s="1" t="s">
        <v>42</v>
      </c>
      <c r="T2764" s="1" t="s">
        <v>203</v>
      </c>
      <c r="AA2764" s="1">
        <v>998333.13</v>
      </c>
      <c r="AB2764" s="1" t="s">
        <v>2151</v>
      </c>
      <c r="AC2764" s="5">
        <v>42262</v>
      </c>
      <c r="AF2764" s="1">
        <v>10019</v>
      </c>
      <c r="AI2764" s="1" t="s">
        <v>76</v>
      </c>
      <c r="AJ2764" s="1">
        <v>2017</v>
      </c>
      <c r="AK2764" s="1" t="s">
        <v>50</v>
      </c>
      <c r="AL2764" s="1">
        <v>248</v>
      </c>
    </row>
    <row r="2765" spans="1:38" x14ac:dyDescent="0.2">
      <c r="A2765" s="2" t="str">
        <f>HYPERLINK("https://www.compass.com/listing/301-west-53rd-street-unit-8j-manhattan-ny-10019/29388128166885265/","301 W 53rd St, Unit 8J")</f>
        <v>301 W 53rd St, Unit 8J</v>
      </c>
      <c r="B2765" s="2" t="str">
        <f t="shared" si="444"/>
        <v>Fifty Third and Eighth</v>
      </c>
      <c r="C2765" s="1" t="s">
        <v>57</v>
      </c>
      <c r="D2765" s="1" t="s">
        <v>41</v>
      </c>
      <c r="E2765" s="3">
        <v>1000392</v>
      </c>
      <c r="F2765" s="1">
        <v>1475.5038348082501</v>
      </c>
      <c r="M2765" s="1">
        <v>678</v>
      </c>
      <c r="Q2765" s="1" t="s">
        <v>42</v>
      </c>
      <c r="S2765" s="1" t="s">
        <v>42</v>
      </c>
      <c r="T2765" s="1" t="s">
        <v>203</v>
      </c>
      <c r="AA2765" s="1">
        <v>1000391.6</v>
      </c>
      <c r="AB2765" s="1" t="s">
        <v>2152</v>
      </c>
      <c r="AC2765" s="5">
        <v>42284</v>
      </c>
      <c r="AF2765" s="1">
        <v>10019</v>
      </c>
      <c r="AI2765" s="1" t="s">
        <v>76</v>
      </c>
      <c r="AJ2765" s="1">
        <v>2017</v>
      </c>
      <c r="AK2765" s="1" t="s">
        <v>50</v>
      </c>
      <c r="AL2765" s="1">
        <v>248</v>
      </c>
    </row>
    <row r="2766" spans="1:38" x14ac:dyDescent="0.2">
      <c r="A2766" s="2" t="str">
        <f>HYPERLINK("https://www.compass.com/listing/301-west-53rd-street-unit-9a-manhattan-ny-10019/29388128913535633/","301 W 53rd St, Unit 9A")</f>
        <v>301 W 53rd St, Unit 9A</v>
      </c>
      <c r="B2766" s="2" t="str">
        <f t="shared" si="444"/>
        <v>Fifty Third and Eighth</v>
      </c>
      <c r="C2766" s="1" t="s">
        <v>57</v>
      </c>
      <c r="D2766" s="1" t="s">
        <v>41</v>
      </c>
      <c r="E2766" s="3">
        <v>1829664</v>
      </c>
      <c r="F2766" s="1">
        <v>1760.98521655437</v>
      </c>
      <c r="M2766" s="4">
        <v>1039</v>
      </c>
      <c r="Q2766" s="1" t="s">
        <v>42</v>
      </c>
      <c r="S2766" s="1" t="s">
        <v>42</v>
      </c>
      <c r="T2766" s="1" t="s">
        <v>203</v>
      </c>
      <c r="AA2766" s="1">
        <v>1829663.64</v>
      </c>
      <c r="AB2766" s="1" t="s">
        <v>2153</v>
      </c>
      <c r="AC2766" s="5">
        <v>42275</v>
      </c>
      <c r="AF2766" s="1">
        <v>10019</v>
      </c>
      <c r="AI2766" s="1" t="s">
        <v>76</v>
      </c>
      <c r="AJ2766" s="1">
        <v>2017</v>
      </c>
      <c r="AK2766" s="1" t="s">
        <v>50</v>
      </c>
      <c r="AL2766" s="1">
        <v>248</v>
      </c>
    </row>
    <row r="2767" spans="1:38" x14ac:dyDescent="0.2">
      <c r="A2767" s="2" t="str">
        <f>HYPERLINK("https://www.compass.com/listing/301-west-53rd-street-unit-9c-manhattan-ny-10019/29388129643336273/","301 W 53rd St, Unit 9C")</f>
        <v>301 W 53rd St, Unit 9C</v>
      </c>
      <c r="B2767" s="2" t="str">
        <f t="shared" si="444"/>
        <v>Fifty Third and Eighth</v>
      </c>
      <c r="C2767" s="1" t="s">
        <v>57</v>
      </c>
      <c r="D2767" s="1" t="s">
        <v>41</v>
      </c>
      <c r="E2767" s="3">
        <v>1461896</v>
      </c>
      <c r="F2767" s="1">
        <v>1697.9046109175299</v>
      </c>
      <c r="M2767" s="1">
        <v>861</v>
      </c>
      <c r="Q2767" s="1" t="s">
        <v>42</v>
      </c>
      <c r="S2767" s="1" t="s">
        <v>42</v>
      </c>
      <c r="T2767" s="1" t="s">
        <v>203</v>
      </c>
      <c r="AA2767" s="1">
        <v>1461895.87</v>
      </c>
      <c r="AB2767" s="1" t="s">
        <v>2154</v>
      </c>
      <c r="AC2767" s="5">
        <v>42268</v>
      </c>
      <c r="AF2767" s="1">
        <v>10019</v>
      </c>
      <c r="AI2767" s="1" t="s">
        <v>76</v>
      </c>
      <c r="AJ2767" s="1">
        <v>2017</v>
      </c>
      <c r="AK2767" s="1" t="s">
        <v>50</v>
      </c>
      <c r="AL2767" s="1">
        <v>248</v>
      </c>
    </row>
    <row r="2768" spans="1:38" x14ac:dyDescent="0.2">
      <c r="A2768" s="2" t="str">
        <f>HYPERLINK("https://www.compass.com/listing/301-west-53rd-street-unit-10a-manhattan-ny-10019/29388132562580161/","301 W 53rd St, Unit 10A")</f>
        <v>301 W 53rd St, Unit 10A</v>
      </c>
      <c r="B2768" s="2" t="str">
        <f t="shared" si="444"/>
        <v>Fifty Third and Eighth</v>
      </c>
      <c r="C2768" s="1" t="s">
        <v>57</v>
      </c>
      <c r="D2768" s="1" t="s">
        <v>41</v>
      </c>
      <c r="E2768" s="3">
        <v>1902030</v>
      </c>
      <c r="F2768" s="1">
        <v>1830.6350336862299</v>
      </c>
      <c r="M2768" s="4">
        <v>1039</v>
      </c>
      <c r="Q2768" s="1" t="s">
        <v>42</v>
      </c>
      <c r="S2768" s="1" t="s">
        <v>42</v>
      </c>
      <c r="T2768" s="1" t="s">
        <v>203</v>
      </c>
      <c r="AA2768" s="1">
        <v>1902029.8</v>
      </c>
      <c r="AB2768" s="1" t="s">
        <v>2155</v>
      </c>
      <c r="AC2768" s="5">
        <v>42265</v>
      </c>
      <c r="AF2768" s="1">
        <v>10019</v>
      </c>
      <c r="AI2768" s="1" t="s">
        <v>76</v>
      </c>
      <c r="AJ2768" s="1">
        <v>2017</v>
      </c>
      <c r="AK2768" s="1" t="s">
        <v>50</v>
      </c>
      <c r="AL2768" s="1">
        <v>248</v>
      </c>
    </row>
    <row r="2769" spans="1:38" x14ac:dyDescent="0.2">
      <c r="A2769" s="2" t="str">
        <f>HYPERLINK("https://www.compass.com/listing/301-west-53rd-street-unit-10g-manhattan-ny-10019/29388135146207281/","301 W 53rd St, Unit 10G")</f>
        <v>301 W 53rd St, Unit 10G</v>
      </c>
      <c r="B2769" s="2" t="str">
        <f t="shared" si="444"/>
        <v>Fifty Third and Eighth</v>
      </c>
      <c r="C2769" s="1" t="s">
        <v>57</v>
      </c>
      <c r="D2769" s="1" t="s">
        <v>41</v>
      </c>
      <c r="E2769" s="3">
        <v>1001456</v>
      </c>
      <c r="F2769" s="1">
        <v>1477.0734218289001</v>
      </c>
      <c r="M2769" s="1">
        <v>678</v>
      </c>
      <c r="Q2769" s="1" t="s">
        <v>42</v>
      </c>
      <c r="S2769" s="1" t="s">
        <v>42</v>
      </c>
      <c r="T2769" s="1" t="s">
        <v>203</v>
      </c>
      <c r="AA2769" s="1">
        <v>1001455.78</v>
      </c>
      <c r="AB2769" s="1" t="s">
        <v>2156</v>
      </c>
      <c r="AC2769" s="5">
        <v>42276</v>
      </c>
      <c r="AF2769" s="1">
        <v>10019</v>
      </c>
      <c r="AI2769" s="1" t="s">
        <v>76</v>
      </c>
      <c r="AJ2769" s="1">
        <v>2017</v>
      </c>
      <c r="AK2769" s="1" t="s">
        <v>50</v>
      </c>
      <c r="AL2769" s="1">
        <v>248</v>
      </c>
    </row>
    <row r="2770" spans="1:38" x14ac:dyDescent="0.2">
      <c r="A2770" s="2" t="str">
        <f>HYPERLINK("https://www.compass.com/listing/301-west-53rd-street-unit-11j-manhattan-ny-10019/29388140548535137/","301 W 53rd St, Unit 11J")</f>
        <v>301 W 53rd St, Unit 11J</v>
      </c>
      <c r="B2770" s="2" t="str">
        <f t="shared" si="444"/>
        <v>Fifty Third and Eighth</v>
      </c>
      <c r="C2770" s="1" t="s">
        <v>57</v>
      </c>
      <c r="D2770" s="1" t="s">
        <v>41</v>
      </c>
      <c r="E2770" s="3">
        <v>1039611</v>
      </c>
      <c r="F2770" s="1">
        <v>1533.34955752212</v>
      </c>
      <c r="M2770" s="1">
        <v>678</v>
      </c>
      <c r="Q2770" s="1" t="s">
        <v>42</v>
      </c>
      <c r="S2770" s="1" t="s">
        <v>42</v>
      </c>
      <c r="T2770" s="1" t="s">
        <v>203</v>
      </c>
      <c r="AA2770" s="1">
        <v>1039611</v>
      </c>
      <c r="AB2770" s="1" t="s">
        <v>2157</v>
      </c>
      <c r="AC2770" s="5">
        <v>42304</v>
      </c>
      <c r="AF2770" s="1">
        <v>10019</v>
      </c>
      <c r="AI2770" s="1" t="s">
        <v>76</v>
      </c>
      <c r="AJ2770" s="1">
        <v>2017</v>
      </c>
      <c r="AK2770" s="1" t="s">
        <v>50</v>
      </c>
      <c r="AL2770" s="1">
        <v>248</v>
      </c>
    </row>
    <row r="2771" spans="1:38" x14ac:dyDescent="0.2">
      <c r="A2771" s="2" t="str">
        <f>HYPERLINK("https://www.compass.com/listing/301-west-53rd-street-unit-12g-manhattan-ny-10019/29388143501316977/","301 W 53rd St, Unit 12G")</f>
        <v>301 W 53rd St, Unit 12G</v>
      </c>
      <c r="B2771" s="2" t="str">
        <f t="shared" si="444"/>
        <v>Fifty Third and Eighth</v>
      </c>
      <c r="C2771" s="1" t="s">
        <v>57</v>
      </c>
      <c r="D2771" s="1" t="s">
        <v>41</v>
      </c>
      <c r="E2771" s="3">
        <v>1149633</v>
      </c>
      <c r="F2771" s="1">
        <v>1695.62383480825</v>
      </c>
      <c r="M2771" s="1">
        <v>678</v>
      </c>
      <c r="Q2771" s="1" t="s">
        <v>42</v>
      </c>
      <c r="S2771" s="1" t="s">
        <v>42</v>
      </c>
      <c r="T2771" s="1" t="s">
        <v>203</v>
      </c>
      <c r="AA2771" s="1">
        <v>1149632.96</v>
      </c>
      <c r="AB2771" s="1" t="s">
        <v>2158</v>
      </c>
      <c r="AC2771" s="5">
        <v>42276</v>
      </c>
      <c r="AF2771" s="1">
        <v>10019</v>
      </c>
      <c r="AI2771" s="1" t="s">
        <v>76</v>
      </c>
      <c r="AJ2771" s="1">
        <v>2017</v>
      </c>
      <c r="AK2771" s="1" t="s">
        <v>50</v>
      </c>
      <c r="AL2771" s="1">
        <v>248</v>
      </c>
    </row>
    <row r="2772" spans="1:38" x14ac:dyDescent="0.2">
      <c r="A2772" s="2" t="str">
        <f>HYPERLINK("https://www.compass.com/listing/301-west-53rd-street-unit-12h-manhattan-ny-10019/29388143811703713/","301 W 53rd St, Unit 12H")</f>
        <v>301 W 53rd St, Unit 12H</v>
      </c>
      <c r="B2772" s="2" t="str">
        <f t="shared" si="444"/>
        <v>Fifty Third and Eighth</v>
      </c>
      <c r="C2772" s="1" t="s">
        <v>57</v>
      </c>
      <c r="D2772" s="1" t="s">
        <v>41</v>
      </c>
      <c r="E2772" s="3">
        <v>1024039</v>
      </c>
      <c r="F2772" s="1">
        <v>1535.2914092953499</v>
      </c>
      <c r="M2772" s="1">
        <v>667</v>
      </c>
      <c r="Q2772" s="1" t="s">
        <v>42</v>
      </c>
      <c r="S2772" s="1" t="s">
        <v>42</v>
      </c>
      <c r="T2772" s="1" t="s">
        <v>203</v>
      </c>
      <c r="AA2772" s="1">
        <v>1024039.37</v>
      </c>
      <c r="AB2772" s="1" t="s">
        <v>2159</v>
      </c>
      <c r="AC2772" s="5">
        <v>43259</v>
      </c>
      <c r="AF2772" s="1">
        <v>10019</v>
      </c>
      <c r="AI2772" s="1" t="s">
        <v>76</v>
      </c>
      <c r="AJ2772" s="1">
        <v>2017</v>
      </c>
      <c r="AK2772" s="1" t="s">
        <v>50</v>
      </c>
      <c r="AL2772" s="1">
        <v>248</v>
      </c>
    </row>
    <row r="2773" spans="1:38" x14ac:dyDescent="0.2">
      <c r="A2773" s="2" t="str">
        <f>HYPERLINK("https://www.compass.com/listing/301-west-53rd-street-unit-12i-manhattan-ny-10019/29388144197515457/","301 W 53rd St, Unit 12I")</f>
        <v>301 W 53rd St, Unit 12I</v>
      </c>
      <c r="B2773" s="2" t="str">
        <f t="shared" si="444"/>
        <v>Fifty Third and Eighth</v>
      </c>
      <c r="C2773" s="1" t="s">
        <v>57</v>
      </c>
      <c r="D2773" s="1" t="s">
        <v>41</v>
      </c>
      <c r="E2773" s="3">
        <v>1160004</v>
      </c>
      <c r="F2773" s="1">
        <v>1739.1368065966999</v>
      </c>
      <c r="M2773" s="1">
        <v>667</v>
      </c>
      <c r="Q2773" s="1" t="s">
        <v>42</v>
      </c>
      <c r="S2773" s="1" t="s">
        <v>42</v>
      </c>
      <c r="T2773" s="1" t="s">
        <v>203</v>
      </c>
      <c r="AA2773" s="1">
        <v>1160004.25</v>
      </c>
      <c r="AB2773" s="1" t="s">
        <v>2160</v>
      </c>
      <c r="AC2773" s="5">
        <v>42291</v>
      </c>
      <c r="AF2773" s="1">
        <v>10019</v>
      </c>
      <c r="AI2773" s="1" t="s">
        <v>76</v>
      </c>
      <c r="AJ2773" s="1">
        <v>2017</v>
      </c>
      <c r="AK2773" s="1" t="s">
        <v>50</v>
      </c>
      <c r="AL2773" s="1">
        <v>248</v>
      </c>
    </row>
    <row r="2774" spans="1:38" x14ac:dyDescent="0.2">
      <c r="A2774" s="2" t="str">
        <f>HYPERLINK("https://www.compass.com/listing/301-west-53rd-street-unit-13b-manhattan-ny-10019/29388145766241169/","301 W 53rd St, Unit 13B")</f>
        <v>301 W 53rd St, Unit 13B</v>
      </c>
      <c r="B2774" s="2" t="str">
        <f t="shared" si="444"/>
        <v>Fifty Third and Eighth</v>
      </c>
      <c r="C2774" s="1" t="s">
        <v>57</v>
      </c>
      <c r="D2774" s="1" t="s">
        <v>41</v>
      </c>
      <c r="E2774" s="3">
        <v>1435000</v>
      </c>
      <c r="F2774" s="1">
        <v>1802.7638190954699</v>
      </c>
      <c r="M2774" s="1">
        <v>796</v>
      </c>
      <c r="Q2774" s="1" t="s">
        <v>42</v>
      </c>
      <c r="S2774" s="1" t="s">
        <v>42</v>
      </c>
      <c r="T2774" s="1" t="s">
        <v>203</v>
      </c>
      <c r="AA2774" s="1">
        <v>1435000</v>
      </c>
      <c r="AB2774" s="1" t="s">
        <v>2161</v>
      </c>
      <c r="AC2774" s="5">
        <v>42272</v>
      </c>
      <c r="AF2774" s="1">
        <v>10019</v>
      </c>
      <c r="AI2774" s="1" t="s">
        <v>76</v>
      </c>
      <c r="AJ2774" s="1">
        <v>2017</v>
      </c>
      <c r="AK2774" s="1" t="s">
        <v>50</v>
      </c>
      <c r="AL2774" s="1">
        <v>248</v>
      </c>
    </row>
    <row r="2775" spans="1:38" x14ac:dyDescent="0.2">
      <c r="A2775" s="2" t="str">
        <f>HYPERLINK("https://www.compass.com/listing/301-west-53rd-street-unit-13c-manhattan-ny-10019/29388146043073489/","301 W 53rd St, Unit 13C")</f>
        <v>301 W 53rd St, Unit 13C</v>
      </c>
      <c r="B2775" s="2" t="str">
        <f t="shared" si="444"/>
        <v>Fifty Third and Eighth</v>
      </c>
      <c r="C2775" s="1" t="s">
        <v>57</v>
      </c>
      <c r="D2775" s="1" t="s">
        <v>41</v>
      </c>
      <c r="E2775" s="3">
        <v>1501437</v>
      </c>
      <c r="F2775" s="1">
        <v>1743.8298025551601</v>
      </c>
      <c r="M2775" s="1">
        <v>861</v>
      </c>
      <c r="Q2775" s="1" t="s">
        <v>42</v>
      </c>
      <c r="S2775" s="1" t="s">
        <v>42</v>
      </c>
      <c r="T2775" s="1" t="s">
        <v>203</v>
      </c>
      <c r="AA2775" s="1">
        <v>1501437.46</v>
      </c>
      <c r="AB2775" s="1" t="s">
        <v>2162</v>
      </c>
      <c r="AC2775" s="5">
        <v>42277</v>
      </c>
      <c r="AF2775" s="1">
        <v>10019</v>
      </c>
      <c r="AI2775" s="1" t="s">
        <v>76</v>
      </c>
      <c r="AJ2775" s="1">
        <v>2017</v>
      </c>
      <c r="AK2775" s="1" t="s">
        <v>50</v>
      </c>
      <c r="AL2775" s="1">
        <v>248</v>
      </c>
    </row>
    <row r="2776" spans="1:38" x14ac:dyDescent="0.2">
      <c r="A2776" s="2" t="str">
        <f>HYPERLINK("https://www.compass.com/listing/301-west-53rd-street-unit-14a-manhattan-ny-10019/29388148601598961/","301 W 53rd St, Unit 14A")</f>
        <v>301 W 53rd St, Unit 14A</v>
      </c>
      <c r="B2776" s="2" t="str">
        <f t="shared" si="444"/>
        <v>Fifty Third and Eighth</v>
      </c>
      <c r="C2776" s="1" t="s">
        <v>57</v>
      </c>
      <c r="D2776" s="1" t="s">
        <v>41</v>
      </c>
      <c r="E2776" s="3">
        <v>1757036</v>
      </c>
      <c r="F2776" s="1">
        <v>1691.0839172281001</v>
      </c>
      <c r="M2776" s="4">
        <v>1039</v>
      </c>
      <c r="Q2776" s="1" t="s">
        <v>42</v>
      </c>
      <c r="S2776" s="1" t="s">
        <v>42</v>
      </c>
      <c r="T2776" s="1" t="s">
        <v>203</v>
      </c>
      <c r="AA2776" s="1">
        <v>1757036.19</v>
      </c>
      <c r="AB2776" s="1" t="s">
        <v>2163</v>
      </c>
      <c r="AC2776" s="5">
        <v>43242</v>
      </c>
      <c r="AF2776" s="1">
        <v>10019</v>
      </c>
      <c r="AI2776" s="1" t="s">
        <v>76</v>
      </c>
      <c r="AJ2776" s="1">
        <v>2017</v>
      </c>
      <c r="AK2776" s="1" t="s">
        <v>50</v>
      </c>
      <c r="AL2776" s="1">
        <v>248</v>
      </c>
    </row>
    <row r="2777" spans="1:38" x14ac:dyDescent="0.2">
      <c r="A2777" s="2" t="str">
        <f>HYPERLINK("https://www.compass.com/listing/301-west-53rd-street-unit-14e-manhattan-ny-10019/29388149675340801/","301 W 53rd St, Unit 14E")</f>
        <v>301 W 53rd St, Unit 14E</v>
      </c>
      <c r="B2777" s="2" t="str">
        <f t="shared" si="444"/>
        <v>Fifty Third and Eighth</v>
      </c>
      <c r="C2777" s="1" t="s">
        <v>57</v>
      </c>
      <c r="D2777" s="1" t="s">
        <v>41</v>
      </c>
      <c r="E2777" s="3">
        <v>1906203</v>
      </c>
      <c r="F2777" s="1">
        <v>1834.6513089509101</v>
      </c>
      <c r="M2777" s="4">
        <v>1039</v>
      </c>
      <c r="Q2777" s="1" t="s">
        <v>42</v>
      </c>
      <c r="S2777" s="1" t="s">
        <v>42</v>
      </c>
      <c r="T2777" s="1" t="s">
        <v>203</v>
      </c>
      <c r="AA2777" s="1">
        <v>1906202.71</v>
      </c>
      <c r="AB2777" s="1" t="s">
        <v>2164</v>
      </c>
      <c r="AC2777" s="5">
        <v>42262</v>
      </c>
      <c r="AF2777" s="1">
        <v>10019</v>
      </c>
      <c r="AI2777" s="1" t="s">
        <v>76</v>
      </c>
      <c r="AJ2777" s="1">
        <v>2017</v>
      </c>
      <c r="AK2777" s="1" t="s">
        <v>50</v>
      </c>
      <c r="AL2777" s="1">
        <v>248</v>
      </c>
    </row>
    <row r="2778" spans="1:38" x14ac:dyDescent="0.2">
      <c r="A2778" s="2" t="str">
        <f>HYPERLINK("https://www.compass.com/listing/301-west-53rd-street-unit-14g-manhattan-ny-10019/29388150388364273/","301 W 53rd St, Unit 14G")</f>
        <v>301 W 53rd St, Unit 14G</v>
      </c>
      <c r="B2778" s="2" t="str">
        <f t="shared" si="444"/>
        <v>Fifty Third and Eighth</v>
      </c>
      <c r="C2778" s="1" t="s">
        <v>57</v>
      </c>
      <c r="D2778" s="1" t="s">
        <v>41</v>
      </c>
      <c r="E2778" s="3">
        <v>2309276</v>
      </c>
      <c r="F2778" s="1">
        <v>1716.93401486988</v>
      </c>
      <c r="M2778" s="4">
        <v>1345</v>
      </c>
      <c r="Q2778" s="1" t="s">
        <v>42</v>
      </c>
      <c r="S2778" s="1" t="s">
        <v>42</v>
      </c>
      <c r="T2778" s="1" t="s">
        <v>203</v>
      </c>
      <c r="AA2778" s="1">
        <v>2309276.25</v>
      </c>
      <c r="AB2778" s="1" t="s">
        <v>2165</v>
      </c>
      <c r="AC2778" s="5">
        <v>42990</v>
      </c>
      <c r="AF2778" s="1">
        <v>10019</v>
      </c>
      <c r="AI2778" s="1" t="s">
        <v>76</v>
      </c>
      <c r="AJ2778" s="1">
        <v>2017</v>
      </c>
      <c r="AK2778" s="1" t="s">
        <v>50</v>
      </c>
      <c r="AL2778" s="1">
        <v>248</v>
      </c>
    </row>
    <row r="2779" spans="1:38" x14ac:dyDescent="0.2">
      <c r="A2779" s="2" t="str">
        <f>HYPERLINK("https://www.compass.com/listing/301-west-53rd-street-unit-15a-manhattan-ny-10019/29388151655044097/","301 W 53rd St, Unit 15A")</f>
        <v>301 W 53rd St, Unit 15A</v>
      </c>
      <c r="B2779" s="2" t="str">
        <f t="shared" si="444"/>
        <v>Fifty Third and Eighth</v>
      </c>
      <c r="C2779" s="1" t="s">
        <v>57</v>
      </c>
      <c r="D2779" s="1" t="s">
        <v>41</v>
      </c>
      <c r="E2779" s="3">
        <v>1789138</v>
      </c>
      <c r="F2779" s="1">
        <v>1721.98038498556</v>
      </c>
      <c r="M2779" s="4">
        <v>1039</v>
      </c>
      <c r="Q2779" s="1" t="s">
        <v>42</v>
      </c>
      <c r="S2779" s="1" t="s">
        <v>42</v>
      </c>
      <c r="T2779" s="1" t="s">
        <v>203</v>
      </c>
      <c r="AA2779" s="1">
        <v>1789137.62</v>
      </c>
      <c r="AB2779" s="1" t="s">
        <v>2166</v>
      </c>
      <c r="AC2779" s="5">
        <v>43018</v>
      </c>
      <c r="AF2779" s="1">
        <v>10019</v>
      </c>
      <c r="AI2779" s="1" t="s">
        <v>76</v>
      </c>
      <c r="AJ2779" s="1">
        <v>2017</v>
      </c>
      <c r="AK2779" s="1" t="s">
        <v>50</v>
      </c>
      <c r="AL2779" s="1">
        <v>248</v>
      </c>
    </row>
    <row r="2780" spans="1:38" x14ac:dyDescent="0.2">
      <c r="A2780" s="2" t="str">
        <f>HYPERLINK("https://www.compass.com/listing/301-west-53rd-street-unit-16a-manhattan-ny-10019/29388156931422849/","301 W 53rd St, Unit 16A")</f>
        <v>301 W 53rd St, Unit 16A</v>
      </c>
      <c r="B2780" s="2" t="str">
        <f t="shared" si="444"/>
        <v>Fifty Third and Eighth</v>
      </c>
      <c r="C2780" s="1" t="s">
        <v>57</v>
      </c>
      <c r="D2780" s="1" t="s">
        <v>41</v>
      </c>
      <c r="E2780" s="3">
        <v>1902103</v>
      </c>
      <c r="F2780" s="1">
        <v>1830.70507218479</v>
      </c>
      <c r="M2780" s="4">
        <v>1039</v>
      </c>
      <c r="Q2780" s="1" t="s">
        <v>42</v>
      </c>
      <c r="S2780" s="1" t="s">
        <v>42</v>
      </c>
      <c r="T2780" s="1" t="s">
        <v>203</v>
      </c>
      <c r="AA2780" s="1">
        <v>1902102.57</v>
      </c>
      <c r="AB2780" s="1" t="s">
        <v>2167</v>
      </c>
      <c r="AC2780" s="5">
        <v>42284</v>
      </c>
      <c r="AF2780" s="1">
        <v>10019</v>
      </c>
      <c r="AI2780" s="1" t="s">
        <v>76</v>
      </c>
      <c r="AJ2780" s="1">
        <v>2017</v>
      </c>
      <c r="AK2780" s="1" t="s">
        <v>50</v>
      </c>
      <c r="AL2780" s="1">
        <v>248</v>
      </c>
    </row>
    <row r="2781" spans="1:38" x14ac:dyDescent="0.2">
      <c r="A2781" s="2" t="str">
        <f>HYPERLINK("https://www.compass.com/listing/301-west-53rd-street-unit-16c-manhattan-ny-10019/29388157694850209/","301 W 53rd St, Unit 16C")</f>
        <v>301 W 53rd St, Unit 16C</v>
      </c>
      <c r="B2781" s="2" t="str">
        <f t="shared" si="444"/>
        <v>Fifty Third and Eighth</v>
      </c>
      <c r="C2781" s="1" t="s">
        <v>57</v>
      </c>
      <c r="D2781" s="1" t="s">
        <v>41</v>
      </c>
      <c r="E2781" s="3">
        <v>1533369</v>
      </c>
      <c r="F2781" s="1">
        <v>1780.9159581881499</v>
      </c>
      <c r="M2781" s="1">
        <v>861</v>
      </c>
      <c r="Q2781" s="1" t="s">
        <v>42</v>
      </c>
      <c r="S2781" s="1" t="s">
        <v>42</v>
      </c>
      <c r="T2781" s="1" t="s">
        <v>203</v>
      </c>
      <c r="AA2781" s="1">
        <v>1533368.64</v>
      </c>
      <c r="AB2781" s="1" t="s">
        <v>2168</v>
      </c>
      <c r="AC2781" s="5">
        <v>42271</v>
      </c>
      <c r="AF2781" s="1">
        <v>10019</v>
      </c>
      <c r="AI2781" s="1" t="s">
        <v>76</v>
      </c>
      <c r="AJ2781" s="1">
        <v>2017</v>
      </c>
      <c r="AK2781" s="1" t="s">
        <v>50</v>
      </c>
      <c r="AL2781" s="1">
        <v>248</v>
      </c>
    </row>
    <row r="2782" spans="1:38" x14ac:dyDescent="0.2">
      <c r="A2782" s="2" t="str">
        <f>HYPERLINK("https://www.compass.com/listing/301-west-53rd-street-unit-16d-manhattan-ny-10019/29388158072273553/","301 W 53rd St, Unit 16D")</f>
        <v>301 W 53rd St, Unit 16D</v>
      </c>
      <c r="B2782" s="2" t="str">
        <f t="shared" si="444"/>
        <v>Fifty Third and Eighth</v>
      </c>
      <c r="C2782" s="1" t="s">
        <v>57</v>
      </c>
      <c r="D2782" s="1" t="s">
        <v>41</v>
      </c>
      <c r="E2782" s="3">
        <v>1502320</v>
      </c>
      <c r="F2782" s="1">
        <v>1904.08111533586</v>
      </c>
      <c r="G2782" s="1">
        <v>4</v>
      </c>
      <c r="H2782" s="1">
        <v>2</v>
      </c>
      <c r="I2782" s="1">
        <v>1</v>
      </c>
      <c r="J2782" s="1">
        <v>1</v>
      </c>
      <c r="M2782" s="1">
        <v>789</v>
      </c>
      <c r="N2782" s="1">
        <v>690</v>
      </c>
      <c r="O2782" s="1">
        <v>1585</v>
      </c>
      <c r="P2782" s="1">
        <v>895</v>
      </c>
      <c r="Q2782" s="1" t="s">
        <v>42</v>
      </c>
      <c r="S2782" s="1" t="s">
        <v>42</v>
      </c>
      <c r="T2782" s="1" t="s">
        <v>203</v>
      </c>
      <c r="U2782" s="1">
        <v>75</v>
      </c>
      <c r="V2782" s="5">
        <v>43654</v>
      </c>
      <c r="W2782" s="5">
        <v>42111</v>
      </c>
      <c r="X2782" s="1">
        <v>1470000</v>
      </c>
      <c r="Y2782" s="1">
        <v>1470000</v>
      </c>
      <c r="Z2782" s="5">
        <v>42354</v>
      </c>
      <c r="AA2782" s="1">
        <v>1502320</v>
      </c>
      <c r="AB2782" s="1" t="s">
        <v>2169</v>
      </c>
      <c r="AC2782" s="5">
        <v>42375</v>
      </c>
      <c r="AF2782" s="1">
        <v>10019</v>
      </c>
      <c r="AI2782" s="1" t="s">
        <v>76</v>
      </c>
      <c r="AJ2782" s="1">
        <v>2017</v>
      </c>
      <c r="AK2782" s="1" t="s">
        <v>50</v>
      </c>
      <c r="AL2782" s="1">
        <v>248</v>
      </c>
    </row>
    <row r="2783" spans="1:38" x14ac:dyDescent="0.2">
      <c r="A2783" s="2" t="str">
        <f>HYPERLINK("https://www.compass.com/listing/301-west-53rd-street-unit-17a-manhattan-ny-10019/29388161536832721/","301 W 53rd St, Unit 17A")</f>
        <v>301 W 53rd St, Unit 17A</v>
      </c>
      <c r="B2783" s="2" t="str">
        <f t="shared" si="444"/>
        <v>Fifty Third and Eighth</v>
      </c>
      <c r="C2783" s="1" t="s">
        <v>57</v>
      </c>
      <c r="D2783" s="1" t="s">
        <v>41</v>
      </c>
      <c r="E2783" s="3">
        <v>1849282</v>
      </c>
      <c r="F2783" s="1">
        <v>1779.86688161693</v>
      </c>
      <c r="M2783" s="4">
        <v>1039</v>
      </c>
      <c r="Q2783" s="1" t="s">
        <v>42</v>
      </c>
      <c r="S2783" s="1" t="s">
        <v>42</v>
      </c>
      <c r="T2783" s="1" t="s">
        <v>203</v>
      </c>
      <c r="AA2783" s="1">
        <v>1849281.69</v>
      </c>
      <c r="AB2783" s="1" t="s">
        <v>2170</v>
      </c>
      <c r="AC2783" s="5">
        <v>42795</v>
      </c>
      <c r="AF2783" s="1">
        <v>10019</v>
      </c>
      <c r="AI2783" s="1" t="s">
        <v>76</v>
      </c>
      <c r="AJ2783" s="1">
        <v>2017</v>
      </c>
      <c r="AK2783" s="1" t="s">
        <v>50</v>
      </c>
      <c r="AL2783" s="1">
        <v>248</v>
      </c>
    </row>
    <row r="2784" spans="1:38" x14ac:dyDescent="0.2">
      <c r="A2784" s="2" t="str">
        <f>HYPERLINK("https://www.compass.com/listing/301-west-53rd-street-unit-18a-manhattan-ny-10019/29388166318339361/","301 W 53rd St, Unit 18A")</f>
        <v>301 W 53rd St, Unit 18A</v>
      </c>
      <c r="B2784" s="2" t="str">
        <f t="shared" si="444"/>
        <v>Fifty Third and Eighth</v>
      </c>
      <c r="C2784" s="1" t="s">
        <v>57</v>
      </c>
      <c r="D2784" s="1" t="s">
        <v>41</v>
      </c>
      <c r="E2784" s="3">
        <v>1932169</v>
      </c>
      <c r="F2784" s="1">
        <v>1859.6428777670801</v>
      </c>
      <c r="M2784" s="4">
        <v>1039</v>
      </c>
      <c r="Q2784" s="1" t="s">
        <v>42</v>
      </c>
      <c r="S2784" s="1" t="s">
        <v>42</v>
      </c>
      <c r="T2784" s="1" t="s">
        <v>203</v>
      </c>
      <c r="AA2784" s="1">
        <v>1932168.95</v>
      </c>
      <c r="AB2784" s="1" t="s">
        <v>2171</v>
      </c>
      <c r="AC2784" s="5">
        <v>42264</v>
      </c>
      <c r="AF2784" s="1">
        <v>10019</v>
      </c>
      <c r="AI2784" s="1" t="s">
        <v>76</v>
      </c>
      <c r="AJ2784" s="1">
        <v>2017</v>
      </c>
      <c r="AK2784" s="1" t="s">
        <v>50</v>
      </c>
      <c r="AL2784" s="1">
        <v>248</v>
      </c>
    </row>
    <row r="2785" spans="1:38" x14ac:dyDescent="0.2">
      <c r="A2785" s="2" t="str">
        <f>HYPERLINK("https://www.compass.com/listing/301-west-53rd-street-unit-19a-manhattan-ny-10019/29388170252596561/","301 W 53rd St, Unit 19A")</f>
        <v>301 W 53rd St, Unit 19A</v>
      </c>
      <c r="B2785" s="2" t="str">
        <f t="shared" si="444"/>
        <v>Fifty Third and Eighth</v>
      </c>
      <c r="C2785" s="1" t="s">
        <v>57</v>
      </c>
      <c r="D2785" s="1" t="s">
        <v>41</v>
      </c>
      <c r="E2785" s="3">
        <v>1807202</v>
      </c>
      <c r="F2785" s="1">
        <v>1739.3668334937399</v>
      </c>
      <c r="M2785" s="4">
        <v>1039</v>
      </c>
      <c r="Q2785" s="1" t="s">
        <v>42</v>
      </c>
      <c r="S2785" s="1" t="s">
        <v>42</v>
      </c>
      <c r="T2785" s="1" t="s">
        <v>203</v>
      </c>
      <c r="AA2785" s="1">
        <v>1807202.14</v>
      </c>
      <c r="AB2785" s="1" t="s">
        <v>2172</v>
      </c>
      <c r="AC2785" s="5">
        <v>42985</v>
      </c>
      <c r="AF2785" s="1">
        <v>10019</v>
      </c>
      <c r="AI2785" s="1" t="s">
        <v>76</v>
      </c>
      <c r="AJ2785" s="1">
        <v>2017</v>
      </c>
      <c r="AK2785" s="1" t="s">
        <v>50</v>
      </c>
      <c r="AL2785" s="1">
        <v>248</v>
      </c>
    </row>
    <row r="2786" spans="1:38" x14ac:dyDescent="0.2">
      <c r="A2786" s="2" t="str">
        <f>HYPERLINK("https://www.compass.com/listing/301-west-53rd-street-unit-19c-manhattan-ny-10019/29388170596465505/","301 W 53rd St, Unit 19C")</f>
        <v>301 W 53rd St, Unit 19C</v>
      </c>
      <c r="B2786" s="2" t="str">
        <f t="shared" si="444"/>
        <v>Fifty Third and Eighth</v>
      </c>
      <c r="C2786" s="1" t="s">
        <v>57</v>
      </c>
      <c r="D2786" s="1" t="s">
        <v>41</v>
      </c>
      <c r="E2786" s="3">
        <v>3015484</v>
      </c>
      <c r="F2786" s="1">
        <v>1827.5660303030299</v>
      </c>
      <c r="M2786" s="4">
        <v>1650</v>
      </c>
      <c r="Q2786" s="1" t="s">
        <v>42</v>
      </c>
      <c r="S2786" s="1" t="s">
        <v>42</v>
      </c>
      <c r="T2786" s="1" t="s">
        <v>203</v>
      </c>
      <c r="AA2786" s="1">
        <v>3015483.95</v>
      </c>
      <c r="AB2786" s="1" t="s">
        <v>2173</v>
      </c>
      <c r="AC2786" s="5">
        <v>42488</v>
      </c>
      <c r="AF2786" s="1">
        <v>10019</v>
      </c>
      <c r="AI2786" s="1" t="s">
        <v>76</v>
      </c>
      <c r="AJ2786" s="1">
        <v>2017</v>
      </c>
      <c r="AK2786" s="1" t="s">
        <v>50</v>
      </c>
      <c r="AL2786" s="1">
        <v>248</v>
      </c>
    </row>
    <row r="2787" spans="1:38" x14ac:dyDescent="0.2">
      <c r="A2787" s="2" t="str">
        <f>HYPERLINK("https://www.compass.com/listing/301-west-53rd-street-unit-19e-manhattan-ny-10019/29388170906899873/","301 W 53rd St, Unit 19E")</f>
        <v>301 W 53rd St, Unit 19E</v>
      </c>
      <c r="B2787" s="2" t="str">
        <f t="shared" si="444"/>
        <v>Fifty Third and Eighth</v>
      </c>
      <c r="C2787" s="1" t="s">
        <v>57</v>
      </c>
      <c r="D2787" s="1" t="s">
        <v>41</v>
      </c>
      <c r="E2787" s="3">
        <v>1982740</v>
      </c>
      <c r="F2787" s="1">
        <v>1908.31546679499</v>
      </c>
      <c r="M2787" s="4">
        <v>1039</v>
      </c>
      <c r="Q2787" s="1" t="s">
        <v>42</v>
      </c>
      <c r="S2787" s="1" t="s">
        <v>42</v>
      </c>
      <c r="T2787" s="1" t="s">
        <v>203</v>
      </c>
      <c r="AA2787" s="1">
        <v>1982739.77</v>
      </c>
      <c r="AB2787" s="1" t="s">
        <v>2174</v>
      </c>
      <c r="AC2787" s="5">
        <v>42368</v>
      </c>
      <c r="AF2787" s="1">
        <v>10019</v>
      </c>
      <c r="AI2787" s="1" t="s">
        <v>76</v>
      </c>
      <c r="AJ2787" s="1">
        <v>2017</v>
      </c>
      <c r="AK2787" s="1" t="s">
        <v>50</v>
      </c>
      <c r="AL2787" s="1">
        <v>248</v>
      </c>
    </row>
    <row r="2788" spans="1:38" x14ac:dyDescent="0.2">
      <c r="A2788" s="2" t="str">
        <f>HYPERLINK("https://www.compass.com/listing/301-west-53rd-street-unit-20a-manhattan-ny-10019/29388173062716289/","301 W 53rd St, Unit 20A")</f>
        <v>301 W 53rd St, Unit 20A</v>
      </c>
      <c r="B2788" s="2" t="str">
        <f t="shared" si="444"/>
        <v>Fifty Third and Eighth</v>
      </c>
      <c r="C2788" s="1" t="s">
        <v>57</v>
      </c>
      <c r="D2788" s="1" t="s">
        <v>41</v>
      </c>
      <c r="E2788" s="3">
        <v>1807368</v>
      </c>
      <c r="F2788" s="1">
        <v>1739.52688161693</v>
      </c>
      <c r="M2788" s="4">
        <v>1039</v>
      </c>
      <c r="Q2788" s="1" t="s">
        <v>42</v>
      </c>
      <c r="S2788" s="1" t="s">
        <v>42</v>
      </c>
      <c r="T2788" s="1" t="s">
        <v>203</v>
      </c>
      <c r="AA2788" s="1">
        <v>1807368.43</v>
      </c>
      <c r="AB2788" s="1" t="s">
        <v>2175</v>
      </c>
      <c r="AC2788" s="5">
        <v>43194</v>
      </c>
      <c r="AF2788" s="1">
        <v>10019</v>
      </c>
      <c r="AI2788" s="1" t="s">
        <v>76</v>
      </c>
      <c r="AJ2788" s="1">
        <v>2017</v>
      </c>
      <c r="AK2788" s="1" t="s">
        <v>50</v>
      </c>
      <c r="AL2788" s="1">
        <v>248</v>
      </c>
    </row>
    <row r="2789" spans="1:38" x14ac:dyDescent="0.2">
      <c r="A2789" s="2" t="str">
        <f>HYPERLINK("https://www.compass.com/listing/301-west-53rd-street-unit-20b-manhattan-ny-10019/29388173339596241/","301 W 53rd St, Unit 20B")</f>
        <v>301 W 53rd St, Unit 20B</v>
      </c>
      <c r="B2789" s="2" t="str">
        <f t="shared" si="444"/>
        <v>Fifty Third and Eighth</v>
      </c>
      <c r="C2789" s="1" t="s">
        <v>57</v>
      </c>
      <c r="D2789" s="1" t="s">
        <v>41</v>
      </c>
      <c r="E2789" s="3">
        <v>1310641</v>
      </c>
      <c r="F2789" s="1">
        <v>1646.5341080402</v>
      </c>
      <c r="M2789" s="1">
        <v>796</v>
      </c>
      <c r="Q2789" s="1" t="s">
        <v>42</v>
      </c>
      <c r="S2789" s="1" t="s">
        <v>42</v>
      </c>
      <c r="T2789" s="1" t="s">
        <v>203</v>
      </c>
      <c r="AA2789" s="1">
        <v>1310641.1499999999</v>
      </c>
      <c r="AB2789" s="1" t="s">
        <v>2176</v>
      </c>
      <c r="AC2789" s="5">
        <v>43175</v>
      </c>
      <c r="AF2789" s="1">
        <v>10019</v>
      </c>
      <c r="AI2789" s="1" t="s">
        <v>76</v>
      </c>
      <c r="AJ2789" s="1">
        <v>2017</v>
      </c>
      <c r="AK2789" s="1" t="s">
        <v>50</v>
      </c>
      <c r="AL2789" s="1">
        <v>248</v>
      </c>
    </row>
    <row r="2790" spans="1:38" x14ac:dyDescent="0.2">
      <c r="A2790" s="2" t="str">
        <f>HYPERLINK("https://www.compass.com/listing/301-west-53rd-street-unit-22g-manhattan-ny-10019/29388181082289697/","301 W 53rd St, Unit 22G")</f>
        <v>301 W 53rd St, Unit 22G</v>
      </c>
      <c r="B2790" s="2" t="str">
        <f t="shared" si="444"/>
        <v>Fifty Third and Eighth</v>
      </c>
      <c r="C2790" s="1" t="s">
        <v>57</v>
      </c>
      <c r="D2790" s="1" t="s">
        <v>41</v>
      </c>
      <c r="E2790" s="3">
        <v>1154853</v>
      </c>
      <c r="F2790" s="1">
        <v>1703.32300884955</v>
      </c>
      <c r="G2790" s="1">
        <v>3</v>
      </c>
      <c r="H2790" s="1">
        <v>1</v>
      </c>
      <c r="I2790" s="1">
        <v>1</v>
      </c>
      <c r="J2790" s="1">
        <v>1</v>
      </c>
      <c r="M2790" s="1">
        <v>678</v>
      </c>
      <c r="N2790" s="1">
        <v>595</v>
      </c>
      <c r="O2790" s="1">
        <v>1796</v>
      </c>
      <c r="P2790" s="1">
        <v>1201</v>
      </c>
      <c r="Q2790" s="1" t="s">
        <v>42</v>
      </c>
      <c r="S2790" s="1" t="s">
        <v>42</v>
      </c>
      <c r="T2790" s="1" t="s">
        <v>203</v>
      </c>
      <c r="V2790" s="5">
        <v>43649</v>
      </c>
      <c r="W2790" s="5">
        <v>43040</v>
      </c>
      <c r="X2790" s="1">
        <v>1235000</v>
      </c>
      <c r="Y2790" s="1">
        <v>1235000</v>
      </c>
      <c r="Z2790" s="5">
        <v>43040</v>
      </c>
      <c r="AA2790" s="1">
        <v>1154853</v>
      </c>
      <c r="AB2790" s="1" t="s">
        <v>2177</v>
      </c>
      <c r="AC2790" s="5">
        <v>43057</v>
      </c>
      <c r="AF2790" s="1">
        <v>10019</v>
      </c>
      <c r="AI2790" s="1" t="s">
        <v>76</v>
      </c>
      <c r="AJ2790" s="1">
        <v>2017</v>
      </c>
      <c r="AK2790" s="1" t="s">
        <v>50</v>
      </c>
      <c r="AL2790" s="1">
        <v>248</v>
      </c>
    </row>
    <row r="2791" spans="1:38" x14ac:dyDescent="0.2">
      <c r="A2791" s="2" t="str">
        <f>HYPERLINK("https://www.compass.com/listing/301-west-53rd-street-unit-23b-manhattan-ny-10019/29388183137490561/","301 W 53rd St, Unit 23B")</f>
        <v>301 W 53rd St, Unit 23B</v>
      </c>
      <c r="B2791" s="2" t="str">
        <f t="shared" si="444"/>
        <v>Fifty Third and Eighth</v>
      </c>
      <c r="C2791" s="1" t="s">
        <v>57</v>
      </c>
      <c r="D2791" s="1" t="s">
        <v>41</v>
      </c>
      <c r="E2791" s="3">
        <v>1578920</v>
      </c>
      <c r="F2791" s="1">
        <v>1983.56752512562</v>
      </c>
      <c r="M2791" s="1">
        <v>796</v>
      </c>
      <c r="Q2791" s="1" t="s">
        <v>42</v>
      </c>
      <c r="S2791" s="1" t="s">
        <v>42</v>
      </c>
      <c r="T2791" s="1" t="s">
        <v>203</v>
      </c>
      <c r="AA2791" s="1">
        <v>1578919.75</v>
      </c>
      <c r="AB2791" s="1" t="s">
        <v>2178</v>
      </c>
      <c r="AC2791" s="5">
        <v>42268</v>
      </c>
      <c r="AF2791" s="1">
        <v>10019</v>
      </c>
      <c r="AI2791" s="1" t="s">
        <v>76</v>
      </c>
      <c r="AJ2791" s="1">
        <v>2017</v>
      </c>
      <c r="AK2791" s="1" t="s">
        <v>50</v>
      </c>
      <c r="AL2791" s="1">
        <v>248</v>
      </c>
    </row>
    <row r="2792" spans="1:38" x14ac:dyDescent="0.2">
      <c r="A2792" s="2" t="str">
        <f>HYPERLINK("https://www.compass.com/listing/301-west-53rd-street-unit-23g-manhattan-ny-10019/29388185184255105/","301 W 53rd St, Unit 23G")</f>
        <v>301 W 53rd St, Unit 23G</v>
      </c>
      <c r="B2792" s="2" t="str">
        <f t="shared" si="444"/>
        <v>Fifty Third and Eighth</v>
      </c>
      <c r="C2792" s="1" t="s">
        <v>57</v>
      </c>
      <c r="D2792" s="1" t="s">
        <v>41</v>
      </c>
      <c r="E2792" s="3">
        <v>1184875</v>
      </c>
      <c r="F2792" s="1">
        <v>1747.6026548672501</v>
      </c>
      <c r="M2792" s="1">
        <v>678</v>
      </c>
      <c r="Q2792" s="1" t="s">
        <v>42</v>
      </c>
      <c r="S2792" s="1" t="s">
        <v>42</v>
      </c>
      <c r="T2792" s="1" t="s">
        <v>203</v>
      </c>
      <c r="AA2792" s="1">
        <v>1184874.6000000001</v>
      </c>
      <c r="AB2792" s="1" t="s">
        <v>2179</v>
      </c>
      <c r="AC2792" s="5">
        <v>43091</v>
      </c>
      <c r="AF2792" s="1">
        <v>10019</v>
      </c>
      <c r="AI2792" s="1" t="s">
        <v>76</v>
      </c>
      <c r="AJ2792" s="1">
        <v>2017</v>
      </c>
      <c r="AK2792" s="1" t="s">
        <v>50</v>
      </c>
      <c r="AL2792" s="1">
        <v>248</v>
      </c>
    </row>
    <row r="2793" spans="1:38" x14ac:dyDescent="0.2">
      <c r="A2793" s="2" t="str">
        <f>HYPERLINK("https://www.compass.com/listing/301-west-53rd-street-unit-23h-manhattan-ny-10019/29388185696016049/","301 W 53rd St, Unit 23H")</f>
        <v>301 W 53rd St, Unit 23H</v>
      </c>
      <c r="B2793" s="2" t="str">
        <f t="shared" si="444"/>
        <v>Fifty Third and Eighth</v>
      </c>
      <c r="C2793" s="1" t="s">
        <v>57</v>
      </c>
      <c r="D2793" s="1" t="s">
        <v>41</v>
      </c>
      <c r="E2793" s="3">
        <v>1172796</v>
      </c>
      <c r="F2793" s="1">
        <v>1758.3144527736099</v>
      </c>
      <c r="M2793" s="1">
        <v>667</v>
      </c>
      <c r="Q2793" s="1" t="s">
        <v>42</v>
      </c>
      <c r="S2793" s="1" t="s">
        <v>42</v>
      </c>
      <c r="T2793" s="1" t="s">
        <v>203</v>
      </c>
      <c r="AA2793" s="1">
        <v>1172795.74</v>
      </c>
      <c r="AB2793" s="1" t="s">
        <v>2180</v>
      </c>
      <c r="AC2793" s="5">
        <v>43220</v>
      </c>
      <c r="AF2793" s="1">
        <v>10019</v>
      </c>
      <c r="AI2793" s="1" t="s">
        <v>76</v>
      </c>
      <c r="AJ2793" s="1">
        <v>2017</v>
      </c>
      <c r="AK2793" s="1" t="s">
        <v>50</v>
      </c>
      <c r="AL2793" s="1">
        <v>248</v>
      </c>
    </row>
    <row r="2794" spans="1:38" x14ac:dyDescent="0.2">
      <c r="A2794" s="2" t="str">
        <f>HYPERLINK("https://www.compass.com/listing/301-west-53rd-street-unit-23j-manhattan-ny-10019/29388186006402657/","301 W 53rd St, Unit 23J")</f>
        <v>301 W 53rd St, Unit 23J</v>
      </c>
      <c r="B2794" s="2" t="str">
        <f t="shared" si="444"/>
        <v>Fifty Third and Eighth</v>
      </c>
      <c r="C2794" s="1" t="s">
        <v>57</v>
      </c>
      <c r="D2794" s="1" t="s">
        <v>41</v>
      </c>
      <c r="E2794" s="3">
        <v>1174875</v>
      </c>
      <c r="F2794" s="1">
        <v>1732.8533923303801</v>
      </c>
      <c r="M2794" s="1">
        <v>678</v>
      </c>
      <c r="Q2794" s="1" t="s">
        <v>42</v>
      </c>
      <c r="S2794" s="1" t="s">
        <v>42</v>
      </c>
      <c r="T2794" s="1" t="s">
        <v>203</v>
      </c>
      <c r="AA2794" s="1">
        <v>1174874.6000000001</v>
      </c>
      <c r="AB2794" s="1" t="s">
        <v>2181</v>
      </c>
      <c r="AC2794" s="5">
        <v>43186</v>
      </c>
      <c r="AF2794" s="1">
        <v>10019</v>
      </c>
      <c r="AI2794" s="1" t="s">
        <v>76</v>
      </c>
      <c r="AJ2794" s="1">
        <v>2017</v>
      </c>
      <c r="AK2794" s="1" t="s">
        <v>50</v>
      </c>
      <c r="AL2794" s="1">
        <v>248</v>
      </c>
    </row>
    <row r="2795" spans="1:38" x14ac:dyDescent="0.2">
      <c r="A2795" s="2" t="str">
        <f>HYPERLINK("https://www.compass.com/listing/301-west-53rd-street-unit-24c-manhattan-ny-10019/29388186601985729/","301 W 53rd St, Unit 24C")</f>
        <v>301 W 53rd St, Unit 24C</v>
      </c>
      <c r="B2795" s="2" t="str">
        <f t="shared" si="444"/>
        <v>Fifty Third and Eighth</v>
      </c>
      <c r="C2795" s="1" t="s">
        <v>57</v>
      </c>
      <c r="D2795" s="1" t="s">
        <v>41</v>
      </c>
      <c r="E2795" s="3">
        <v>709232</v>
      </c>
      <c r="F2795" s="1">
        <v>823.73076655052205</v>
      </c>
      <c r="M2795" s="1">
        <v>861</v>
      </c>
      <c r="Q2795" s="1" t="s">
        <v>42</v>
      </c>
      <c r="S2795" s="1" t="s">
        <v>42</v>
      </c>
      <c r="T2795" s="1" t="s">
        <v>203</v>
      </c>
      <c r="AA2795" s="1">
        <v>709232.19</v>
      </c>
      <c r="AB2795" s="1" t="s">
        <v>2182</v>
      </c>
      <c r="AC2795" s="5">
        <v>42307</v>
      </c>
      <c r="AF2795" s="1">
        <v>10019</v>
      </c>
      <c r="AI2795" s="1" t="s">
        <v>76</v>
      </c>
      <c r="AJ2795" s="1">
        <v>2017</v>
      </c>
      <c r="AK2795" s="1" t="s">
        <v>50</v>
      </c>
      <c r="AL2795" s="1">
        <v>248</v>
      </c>
    </row>
    <row r="2796" spans="1:38" x14ac:dyDescent="0.2">
      <c r="A2796" s="2" t="str">
        <f>HYPERLINK("https://www.compass.com/listing/520-west-45th-street-unit-2c-manhattan-ny-10036/29389764968846401/","520 W 45th St, Unit 2C")</f>
        <v>520 W 45th St, Unit 2C</v>
      </c>
      <c r="B2796" s="2" t="str">
        <f>HYPERLINK("https://www.compass.com/building/inkwell-manhattan-ny/282026081983148485/","Inkwell")</f>
        <v>Inkwell</v>
      </c>
      <c r="C2796" s="1" t="s">
        <v>57</v>
      </c>
      <c r="D2796" s="1" t="s">
        <v>41</v>
      </c>
      <c r="E2796" s="3">
        <v>1900000</v>
      </c>
      <c r="F2796" s="1">
        <v>1451.4896867837999</v>
      </c>
      <c r="M2796" s="4">
        <v>1309</v>
      </c>
      <c r="Q2796" s="1" t="s">
        <v>42</v>
      </c>
      <c r="S2796" s="1" t="s">
        <v>42</v>
      </c>
      <c r="T2796" s="1" t="s">
        <v>203</v>
      </c>
      <c r="AA2796" s="1">
        <v>1900000</v>
      </c>
      <c r="AB2796" s="1" t="s">
        <v>2183</v>
      </c>
      <c r="AC2796" s="5">
        <v>43110</v>
      </c>
      <c r="AF2796" s="1">
        <v>10036</v>
      </c>
      <c r="AI2796" s="1" t="s">
        <v>58</v>
      </c>
      <c r="AJ2796" s="1">
        <v>1905</v>
      </c>
      <c r="AK2796" s="1" t="s">
        <v>59</v>
      </c>
      <c r="AL2796" s="1">
        <v>18</v>
      </c>
    </row>
    <row r="2797" spans="1:38" x14ac:dyDescent="0.2">
      <c r="A2797" s="2" t="str">
        <f>HYPERLINK("https://www.compass.com/listing/535-west-52nd-street-unit-5d-manhattan-ny-10019/29390047975313297/","535 W 52nd St, Unit 5D")</f>
        <v>535 W 52nd St, Unit 5D</v>
      </c>
      <c r="B2797" s="2" t="str">
        <f t="shared" ref="B2797:B2881" si="445">HYPERLINK("https://www.compass.com/building/535-w-52nd-st-manhattan-ny/292847931621444293/","535 W 52nd St")</f>
        <v>535 W 52nd St</v>
      </c>
      <c r="C2797" s="1" t="s">
        <v>57</v>
      </c>
      <c r="D2797" s="1" t="s">
        <v>41</v>
      </c>
      <c r="E2797" s="3">
        <v>408174</v>
      </c>
      <c r="Q2797" s="1" t="s">
        <v>191</v>
      </c>
      <c r="S2797" s="1" t="s">
        <v>191</v>
      </c>
      <c r="T2797" s="1" t="s">
        <v>203</v>
      </c>
      <c r="AA2797" s="1">
        <v>408174</v>
      </c>
      <c r="AB2797" s="1" t="s">
        <v>2184</v>
      </c>
      <c r="AC2797" s="5">
        <v>41775</v>
      </c>
      <c r="AF2797" s="1">
        <v>10019</v>
      </c>
      <c r="AJ2797" s="1">
        <v>2014</v>
      </c>
      <c r="AL2797" s="1">
        <v>95</v>
      </c>
    </row>
    <row r="2798" spans="1:38" x14ac:dyDescent="0.2">
      <c r="A2798" s="2" t="str">
        <f>HYPERLINK("https://www.compass.com/listing/535-west-52nd-street-unit-12b-manhattan-ny-10019/29390048260540641/","535 W 52nd St, Unit 12B")</f>
        <v>535 W 52nd St, Unit 12B</v>
      </c>
      <c r="B2798" s="2" t="str">
        <f t="shared" si="445"/>
        <v>535 W 52nd St</v>
      </c>
      <c r="C2798" s="1" t="s">
        <v>57</v>
      </c>
      <c r="D2798" s="1" t="s">
        <v>41</v>
      </c>
      <c r="E2798" s="3">
        <v>535438</v>
      </c>
      <c r="Q2798" s="1" t="s">
        <v>191</v>
      </c>
      <c r="S2798" s="1" t="s">
        <v>191</v>
      </c>
      <c r="T2798" s="1" t="s">
        <v>203</v>
      </c>
      <c r="AA2798" s="1">
        <v>535438</v>
      </c>
      <c r="AB2798" s="1" t="s">
        <v>2185</v>
      </c>
      <c r="AC2798" s="5">
        <v>41775</v>
      </c>
      <c r="AF2798" s="1">
        <v>10019</v>
      </c>
      <c r="AJ2798" s="1">
        <v>2014</v>
      </c>
      <c r="AL2798" s="1">
        <v>95</v>
      </c>
    </row>
    <row r="2799" spans="1:38" x14ac:dyDescent="0.2">
      <c r="A2799" s="2" t="str">
        <f>HYPERLINK("https://www.compass.com/listing/535-west-52nd-street-unit-10i-manhattan-ny-10019/29390048872894369/","535 W 52nd St, Unit 10I")</f>
        <v>535 W 52nd St, Unit 10I</v>
      </c>
      <c r="B2799" s="2" t="str">
        <f t="shared" si="445"/>
        <v>535 W 52nd St</v>
      </c>
      <c r="C2799" s="1" t="s">
        <v>57</v>
      </c>
      <c r="D2799" s="1" t="s">
        <v>41</v>
      </c>
      <c r="E2799" s="3">
        <v>523206</v>
      </c>
      <c r="Q2799" s="1" t="s">
        <v>191</v>
      </c>
      <c r="S2799" s="1" t="s">
        <v>191</v>
      </c>
      <c r="T2799" s="1" t="s">
        <v>203</v>
      </c>
      <c r="AA2799" s="1">
        <v>523206</v>
      </c>
      <c r="AB2799" s="1" t="s">
        <v>2186</v>
      </c>
      <c r="AC2799" s="5">
        <v>41772</v>
      </c>
      <c r="AF2799" s="1">
        <v>10019</v>
      </c>
      <c r="AJ2799" s="1">
        <v>2014</v>
      </c>
      <c r="AL2799" s="1">
        <v>95</v>
      </c>
    </row>
    <row r="2800" spans="1:38" x14ac:dyDescent="0.2">
      <c r="A2800" s="2" t="str">
        <f>HYPERLINK("https://www.compass.com/listing/535-west-52nd-street-unit-4g-manhattan-ny-10019/29390049242007793/","535 W 52nd St, Unit 4G")</f>
        <v>535 W 52nd St, Unit 4G</v>
      </c>
      <c r="B2800" s="2" t="str">
        <f t="shared" si="445"/>
        <v>535 W 52nd St</v>
      </c>
      <c r="C2800" s="1" t="s">
        <v>57</v>
      </c>
      <c r="D2800" s="1" t="s">
        <v>41</v>
      </c>
      <c r="E2800" s="3">
        <v>531482</v>
      </c>
      <c r="Q2800" s="1" t="s">
        <v>191</v>
      </c>
      <c r="S2800" s="1" t="s">
        <v>191</v>
      </c>
      <c r="T2800" s="1" t="s">
        <v>203</v>
      </c>
      <c r="AA2800" s="1">
        <v>531482</v>
      </c>
      <c r="AB2800" s="1" t="s">
        <v>2187</v>
      </c>
      <c r="AC2800" s="5">
        <v>41774</v>
      </c>
      <c r="AF2800" s="1">
        <v>10019</v>
      </c>
      <c r="AJ2800" s="1">
        <v>2014</v>
      </c>
      <c r="AL2800" s="1">
        <v>95</v>
      </c>
    </row>
    <row r="2801" spans="1:38" x14ac:dyDescent="0.2">
      <c r="A2801" s="2" t="str">
        <f>HYPERLINK("https://www.compass.com/listing/535-west-52nd-street-unit-9h-manhattan-ny-10019/29390050147977473/","535 W 52nd St, Unit 9H")</f>
        <v>535 W 52nd St, Unit 9H</v>
      </c>
      <c r="B2801" s="2" t="str">
        <f t="shared" si="445"/>
        <v>535 W 52nd St</v>
      </c>
      <c r="C2801" s="1" t="s">
        <v>57</v>
      </c>
      <c r="D2801" s="1" t="s">
        <v>41</v>
      </c>
      <c r="E2801" s="3">
        <v>489896</v>
      </c>
      <c r="Q2801" s="1" t="s">
        <v>191</v>
      </c>
      <c r="S2801" s="1" t="s">
        <v>191</v>
      </c>
      <c r="T2801" s="1" t="s">
        <v>203</v>
      </c>
      <c r="AA2801" s="1">
        <v>489896</v>
      </c>
      <c r="AB2801" s="1" t="s">
        <v>2188</v>
      </c>
      <c r="AC2801" s="5">
        <v>41774</v>
      </c>
      <c r="AF2801" s="1">
        <v>10019</v>
      </c>
      <c r="AJ2801" s="1">
        <v>2014</v>
      </c>
      <c r="AL2801" s="1">
        <v>95</v>
      </c>
    </row>
    <row r="2802" spans="1:38" x14ac:dyDescent="0.2">
      <c r="A2802" s="2" t="str">
        <f>HYPERLINK("https://www.compass.com/listing/535-west-52nd-street-unit-3d-manhattan-ny-10019/29390050475196385/","535 W 52nd St, Unit 3D")</f>
        <v>535 W 52nd St, Unit 3D</v>
      </c>
      <c r="B2802" s="2" t="str">
        <f t="shared" si="445"/>
        <v>535 W 52nd St</v>
      </c>
      <c r="C2802" s="1" t="s">
        <v>57</v>
      </c>
      <c r="D2802" s="1" t="s">
        <v>41</v>
      </c>
      <c r="E2802" s="3">
        <v>388094</v>
      </c>
      <c r="Q2802" s="1" t="s">
        <v>191</v>
      </c>
      <c r="S2802" s="1" t="s">
        <v>191</v>
      </c>
      <c r="T2802" s="1" t="s">
        <v>203</v>
      </c>
      <c r="AA2802" s="1">
        <v>388094</v>
      </c>
      <c r="AB2802" s="1" t="s">
        <v>2189</v>
      </c>
      <c r="AC2802" s="5">
        <v>41773</v>
      </c>
      <c r="AF2802" s="1">
        <v>10019</v>
      </c>
      <c r="AJ2802" s="1">
        <v>2014</v>
      </c>
      <c r="AL2802" s="1">
        <v>95</v>
      </c>
    </row>
    <row r="2803" spans="1:38" x14ac:dyDescent="0.2">
      <c r="A2803" s="2" t="str">
        <f>HYPERLINK("https://www.compass.com/listing/535-west-52nd-street-unit-12a-manhattan-ny-10019/29390051154610449/","535 W 52nd St, Unit 12A")</f>
        <v>535 W 52nd St, Unit 12A</v>
      </c>
      <c r="B2803" s="2" t="str">
        <f t="shared" si="445"/>
        <v>535 W 52nd St</v>
      </c>
      <c r="C2803" s="1" t="s">
        <v>57</v>
      </c>
      <c r="D2803" s="1" t="s">
        <v>41</v>
      </c>
      <c r="E2803" s="3">
        <v>620097</v>
      </c>
      <c r="Q2803" s="1" t="s">
        <v>191</v>
      </c>
      <c r="S2803" s="1" t="s">
        <v>191</v>
      </c>
      <c r="T2803" s="1" t="s">
        <v>203</v>
      </c>
      <c r="AA2803" s="1">
        <v>620097</v>
      </c>
      <c r="AB2803" s="1" t="s">
        <v>2190</v>
      </c>
      <c r="AC2803" s="5">
        <v>41856</v>
      </c>
      <c r="AF2803" s="1">
        <v>10019</v>
      </c>
      <c r="AJ2803" s="1">
        <v>2014</v>
      </c>
      <c r="AL2803" s="1">
        <v>95</v>
      </c>
    </row>
    <row r="2804" spans="1:38" x14ac:dyDescent="0.2">
      <c r="A2804" s="2" t="str">
        <f>HYPERLINK("https://www.compass.com/listing/535-west-52nd-street-unit-10b-manhattan-ny-10019/29390051498606577/","535 W 52nd St, Unit 10B")</f>
        <v>535 W 52nd St, Unit 10B</v>
      </c>
      <c r="B2804" s="2" t="str">
        <f t="shared" si="445"/>
        <v>535 W 52nd St</v>
      </c>
      <c r="C2804" s="1" t="s">
        <v>57</v>
      </c>
      <c r="D2804" s="1" t="s">
        <v>41</v>
      </c>
      <c r="E2804" s="3">
        <v>625798</v>
      </c>
      <c r="Q2804" s="1" t="s">
        <v>191</v>
      </c>
      <c r="S2804" s="1" t="s">
        <v>191</v>
      </c>
      <c r="T2804" s="1" t="s">
        <v>203</v>
      </c>
      <c r="AA2804" s="1">
        <v>625798</v>
      </c>
      <c r="AB2804" s="1" t="s">
        <v>2191</v>
      </c>
      <c r="AC2804" s="5">
        <v>41781</v>
      </c>
      <c r="AF2804" s="1">
        <v>10019</v>
      </c>
      <c r="AJ2804" s="1">
        <v>2014</v>
      </c>
      <c r="AL2804" s="1">
        <v>95</v>
      </c>
    </row>
    <row r="2805" spans="1:38" x14ac:dyDescent="0.2">
      <c r="A2805" s="2" t="str">
        <f>HYPERLINK("https://www.compass.com/listing/535-west-52nd-street-unit-2h-manhattan-ny-10019/29390051775352817/","535 W 52nd St, Unit 2H")</f>
        <v>535 W 52nd St, Unit 2H</v>
      </c>
      <c r="B2805" s="2" t="str">
        <f t="shared" si="445"/>
        <v>535 W 52nd St</v>
      </c>
      <c r="C2805" s="1" t="s">
        <v>57</v>
      </c>
      <c r="D2805" s="1" t="s">
        <v>41</v>
      </c>
      <c r="E2805" s="3">
        <v>429655</v>
      </c>
      <c r="Q2805" s="1" t="s">
        <v>191</v>
      </c>
      <c r="S2805" s="1" t="s">
        <v>191</v>
      </c>
      <c r="T2805" s="1" t="s">
        <v>203</v>
      </c>
      <c r="AA2805" s="1">
        <v>429655</v>
      </c>
      <c r="AB2805" s="1" t="s">
        <v>2192</v>
      </c>
      <c r="AC2805" s="5">
        <v>41786</v>
      </c>
      <c r="AF2805" s="1">
        <v>10019</v>
      </c>
      <c r="AJ2805" s="1">
        <v>2014</v>
      </c>
      <c r="AL2805" s="1">
        <v>95</v>
      </c>
    </row>
    <row r="2806" spans="1:38" x14ac:dyDescent="0.2">
      <c r="A2806" s="2" t="str">
        <f>HYPERLINK("https://www.compass.com/listing/535-west-52nd-street-unit-2i-manhattan-ny-10019/29390052035414305/","535 W 52nd St, Unit 2I")</f>
        <v>535 W 52nd St, Unit 2I</v>
      </c>
      <c r="B2806" s="2" t="str">
        <f t="shared" si="445"/>
        <v>535 W 52nd St</v>
      </c>
      <c r="C2806" s="1" t="s">
        <v>57</v>
      </c>
      <c r="D2806" s="1" t="s">
        <v>41</v>
      </c>
      <c r="E2806" s="3">
        <v>498106</v>
      </c>
      <c r="Q2806" s="1" t="s">
        <v>191</v>
      </c>
      <c r="S2806" s="1" t="s">
        <v>191</v>
      </c>
      <c r="T2806" s="1" t="s">
        <v>203</v>
      </c>
      <c r="AA2806" s="1">
        <v>498106</v>
      </c>
      <c r="AB2806" s="1" t="s">
        <v>2193</v>
      </c>
      <c r="AC2806" s="5">
        <v>41837</v>
      </c>
      <c r="AF2806" s="1">
        <v>10019</v>
      </c>
      <c r="AJ2806" s="1">
        <v>2014</v>
      </c>
      <c r="AL2806" s="1">
        <v>95</v>
      </c>
    </row>
    <row r="2807" spans="1:38" x14ac:dyDescent="0.2">
      <c r="A2807" s="2" t="str">
        <f>HYPERLINK("https://www.compass.com/listing/535-west-52nd-street-unit-2f-manhattan-ny-10019/29390052345856001/","535 W 52nd St, Unit 2F")</f>
        <v>535 W 52nd St, Unit 2F</v>
      </c>
      <c r="B2807" s="2" t="str">
        <f t="shared" si="445"/>
        <v>535 W 52nd St</v>
      </c>
      <c r="C2807" s="1" t="s">
        <v>57</v>
      </c>
      <c r="D2807" s="1" t="s">
        <v>41</v>
      </c>
      <c r="E2807" s="3">
        <v>488801</v>
      </c>
      <c r="Q2807" s="1" t="s">
        <v>191</v>
      </c>
      <c r="S2807" s="1" t="s">
        <v>191</v>
      </c>
      <c r="T2807" s="1" t="s">
        <v>203</v>
      </c>
      <c r="AA2807" s="1">
        <v>488801</v>
      </c>
      <c r="AB2807" s="1" t="s">
        <v>2194</v>
      </c>
      <c r="AC2807" s="5">
        <v>41806</v>
      </c>
      <c r="AF2807" s="1">
        <v>10019</v>
      </c>
      <c r="AJ2807" s="1">
        <v>2014</v>
      </c>
      <c r="AL2807" s="1">
        <v>95</v>
      </c>
    </row>
    <row r="2808" spans="1:38" x14ac:dyDescent="0.2">
      <c r="A2808" s="2" t="str">
        <f>HYPERLINK("https://www.compass.com/listing/535-west-52nd-street-unit-2f-manhattan-ny-10019/29390052345856017/","535 W 52nd St, Unit 2F")</f>
        <v>535 W 52nd St, Unit 2F</v>
      </c>
      <c r="B2808" s="2" t="str">
        <f t="shared" si="445"/>
        <v>535 W 52nd St</v>
      </c>
      <c r="C2808" s="1" t="s">
        <v>57</v>
      </c>
      <c r="D2808" s="1" t="s">
        <v>41</v>
      </c>
      <c r="E2808" s="3">
        <v>316414</v>
      </c>
      <c r="Q2808" s="1" t="s">
        <v>191</v>
      </c>
      <c r="S2808" s="1" t="s">
        <v>191</v>
      </c>
      <c r="T2808" s="1" t="s">
        <v>203</v>
      </c>
      <c r="AA2808" s="1">
        <v>316414</v>
      </c>
      <c r="AB2808" s="1" t="s">
        <v>2195</v>
      </c>
      <c r="AC2808" s="5">
        <v>42783</v>
      </c>
      <c r="AF2808" s="1">
        <v>10019</v>
      </c>
      <c r="AJ2808" s="1">
        <v>2014</v>
      </c>
      <c r="AL2808" s="1">
        <v>95</v>
      </c>
    </row>
    <row r="2809" spans="1:38" x14ac:dyDescent="0.2">
      <c r="A2809" s="2" t="str">
        <f>HYPERLINK("https://www.compass.com/listing/535-west-52nd-street-unit-4h-manhattan-ny-10019/29390052614213633/","535 W 52nd St, Unit 4H")</f>
        <v>535 W 52nd St, Unit 4H</v>
      </c>
      <c r="B2809" s="2" t="str">
        <f t="shared" si="445"/>
        <v>535 W 52nd St</v>
      </c>
      <c r="C2809" s="1" t="s">
        <v>57</v>
      </c>
      <c r="D2809" s="1" t="s">
        <v>41</v>
      </c>
      <c r="E2809" s="3">
        <v>444715</v>
      </c>
      <c r="Q2809" s="1" t="s">
        <v>191</v>
      </c>
      <c r="S2809" s="1" t="s">
        <v>191</v>
      </c>
      <c r="T2809" s="1" t="s">
        <v>203</v>
      </c>
      <c r="AA2809" s="1">
        <v>444715</v>
      </c>
      <c r="AB2809" s="1" t="s">
        <v>2196</v>
      </c>
      <c r="AC2809" s="5">
        <v>41935</v>
      </c>
      <c r="AF2809" s="1">
        <v>10019</v>
      </c>
      <c r="AJ2809" s="1">
        <v>2014</v>
      </c>
      <c r="AL2809" s="1">
        <v>95</v>
      </c>
    </row>
    <row r="2810" spans="1:38" x14ac:dyDescent="0.2">
      <c r="A2810" s="2" t="str">
        <f>HYPERLINK("https://www.compass.com/listing/535-west-52nd-street-unit-12f-manhattan-ny-10019/29390052891052337/","535 W 52nd St, Unit 12F")</f>
        <v>535 W 52nd St, Unit 12F</v>
      </c>
      <c r="B2810" s="2" t="str">
        <f t="shared" si="445"/>
        <v>535 W 52nd St</v>
      </c>
      <c r="C2810" s="1" t="s">
        <v>57</v>
      </c>
      <c r="D2810" s="1" t="s">
        <v>41</v>
      </c>
      <c r="E2810" s="3">
        <v>639661</v>
      </c>
      <c r="Q2810" s="1" t="s">
        <v>191</v>
      </c>
      <c r="S2810" s="1" t="s">
        <v>191</v>
      </c>
      <c r="T2810" s="1" t="s">
        <v>203</v>
      </c>
      <c r="AA2810" s="1">
        <v>639661</v>
      </c>
      <c r="AB2810" s="1" t="s">
        <v>2197</v>
      </c>
      <c r="AC2810" s="5">
        <v>41803</v>
      </c>
      <c r="AF2810" s="1">
        <v>10019</v>
      </c>
      <c r="AJ2810" s="1">
        <v>2014</v>
      </c>
      <c r="AL2810" s="1">
        <v>95</v>
      </c>
    </row>
    <row r="2811" spans="1:38" x14ac:dyDescent="0.2">
      <c r="A2811" s="2" t="str">
        <f>HYPERLINK("https://www.compass.com/listing/535-west-52nd-street-unit-6i-manhattan-ny-10019/29390053226659873/","535 W 52nd St, Unit 6I")</f>
        <v>535 W 52nd St, Unit 6I</v>
      </c>
      <c r="B2811" s="2" t="str">
        <f t="shared" si="445"/>
        <v>535 W 52nd St</v>
      </c>
      <c r="C2811" s="1" t="s">
        <v>57</v>
      </c>
      <c r="D2811" s="1" t="s">
        <v>41</v>
      </c>
      <c r="E2811" s="3">
        <v>492548</v>
      </c>
      <c r="Q2811" s="1" t="s">
        <v>191</v>
      </c>
      <c r="S2811" s="1" t="s">
        <v>191</v>
      </c>
      <c r="T2811" s="1" t="s">
        <v>203</v>
      </c>
      <c r="AA2811" s="1">
        <v>492548</v>
      </c>
      <c r="AB2811" s="1" t="s">
        <v>2198</v>
      </c>
      <c r="AC2811" s="5">
        <v>41878</v>
      </c>
      <c r="AF2811" s="1">
        <v>10019</v>
      </c>
      <c r="AJ2811" s="1">
        <v>2014</v>
      </c>
      <c r="AL2811" s="1">
        <v>95</v>
      </c>
    </row>
    <row r="2812" spans="1:38" x14ac:dyDescent="0.2">
      <c r="A2812" s="2" t="str">
        <f>HYPERLINK("https://www.compass.com/listing/535-west-52nd-street-unit-10h-manhattan-ny-10019/29390053503406097/","535 W 52nd St, Unit 10H")</f>
        <v>535 W 52nd St, Unit 10H</v>
      </c>
      <c r="B2812" s="2" t="str">
        <f t="shared" si="445"/>
        <v>535 W 52nd St</v>
      </c>
      <c r="C2812" s="1" t="s">
        <v>57</v>
      </c>
      <c r="D2812" s="1" t="s">
        <v>41</v>
      </c>
      <c r="E2812" s="3">
        <v>484876</v>
      </c>
      <c r="Q2812" s="1" t="s">
        <v>191</v>
      </c>
      <c r="S2812" s="1" t="s">
        <v>191</v>
      </c>
      <c r="T2812" s="1" t="s">
        <v>203</v>
      </c>
      <c r="AA2812" s="1">
        <v>484876</v>
      </c>
      <c r="AB2812" s="1" t="s">
        <v>2199</v>
      </c>
      <c r="AC2812" s="5">
        <v>41789</v>
      </c>
      <c r="AF2812" s="1">
        <v>10019</v>
      </c>
      <c r="AJ2812" s="1">
        <v>2014</v>
      </c>
      <c r="AL2812" s="1">
        <v>95</v>
      </c>
    </row>
    <row r="2813" spans="1:38" x14ac:dyDescent="0.2">
      <c r="A2813" s="2" t="str">
        <f>HYPERLINK("https://www.compass.com/listing/535-west-52nd-street-unit-12i-manhattan-ny-10019/29390053780244801/","535 W 52nd St, Unit 12I")</f>
        <v>535 W 52nd St, Unit 12I</v>
      </c>
      <c r="B2813" s="2" t="str">
        <f t="shared" si="445"/>
        <v>535 W 52nd St</v>
      </c>
      <c r="C2813" s="1" t="s">
        <v>57</v>
      </c>
      <c r="D2813" s="1" t="s">
        <v>41</v>
      </c>
      <c r="E2813" s="3">
        <v>535212</v>
      </c>
      <c r="Q2813" s="1" t="s">
        <v>191</v>
      </c>
      <c r="S2813" s="1" t="s">
        <v>191</v>
      </c>
      <c r="T2813" s="1" t="s">
        <v>203</v>
      </c>
      <c r="AA2813" s="1">
        <v>535212</v>
      </c>
      <c r="AB2813" s="1" t="s">
        <v>2200</v>
      </c>
      <c r="AC2813" s="5">
        <v>41901</v>
      </c>
      <c r="AF2813" s="1">
        <v>10019</v>
      </c>
      <c r="AJ2813" s="1">
        <v>2014</v>
      </c>
      <c r="AL2813" s="1">
        <v>95</v>
      </c>
    </row>
    <row r="2814" spans="1:38" x14ac:dyDescent="0.2">
      <c r="A2814" s="2" t="str">
        <f>HYPERLINK("https://www.compass.com/listing/535-west-52nd-street-unit-12h-manhattan-ny-10019/29390054107463729/","535 W 52nd St, Unit 12H")</f>
        <v>535 W 52nd St, Unit 12H</v>
      </c>
      <c r="B2814" s="2" t="str">
        <f t="shared" si="445"/>
        <v>535 W 52nd St</v>
      </c>
      <c r="C2814" s="1" t="s">
        <v>57</v>
      </c>
      <c r="D2814" s="1" t="s">
        <v>41</v>
      </c>
      <c r="E2814" s="3">
        <v>504955</v>
      </c>
      <c r="Q2814" s="1" t="s">
        <v>191</v>
      </c>
      <c r="S2814" s="1" t="s">
        <v>191</v>
      </c>
      <c r="T2814" s="1" t="s">
        <v>203</v>
      </c>
      <c r="AA2814" s="1">
        <v>504955</v>
      </c>
      <c r="AB2814" s="1" t="s">
        <v>2201</v>
      </c>
      <c r="AC2814" s="5">
        <v>41955</v>
      </c>
      <c r="AF2814" s="1">
        <v>10019</v>
      </c>
      <c r="AJ2814" s="1">
        <v>2014</v>
      </c>
      <c r="AL2814" s="1">
        <v>95</v>
      </c>
    </row>
    <row r="2815" spans="1:38" x14ac:dyDescent="0.2">
      <c r="A2815" s="2" t="str">
        <f>HYPERLINK("https://www.compass.com/listing/535-west-52nd-street-unit-12g-manhattan-ny-10019/29390054367432737/","535 W 52nd St, Unit 12G")</f>
        <v>535 W 52nd St, Unit 12G</v>
      </c>
      <c r="B2815" s="2" t="str">
        <f t="shared" si="445"/>
        <v>535 W 52nd St</v>
      </c>
      <c r="C2815" s="1" t="s">
        <v>57</v>
      </c>
      <c r="D2815" s="1" t="s">
        <v>41</v>
      </c>
      <c r="E2815" s="3">
        <v>643153</v>
      </c>
      <c r="Q2815" s="1" t="s">
        <v>191</v>
      </c>
      <c r="S2815" s="1" t="s">
        <v>191</v>
      </c>
      <c r="T2815" s="1" t="s">
        <v>203</v>
      </c>
      <c r="AA2815" s="1">
        <v>643153</v>
      </c>
      <c r="AB2815" s="1" t="s">
        <v>2202</v>
      </c>
      <c r="AC2815" s="5">
        <v>41848</v>
      </c>
      <c r="AF2815" s="1">
        <v>10019</v>
      </c>
      <c r="AJ2815" s="1">
        <v>2014</v>
      </c>
      <c r="AL2815" s="1">
        <v>95</v>
      </c>
    </row>
    <row r="2816" spans="1:38" x14ac:dyDescent="0.2">
      <c r="A2816" s="2" t="str">
        <f>HYPERLINK("https://www.compass.com/listing/535-west-52nd-street-unit-10f-manhattan-ny-10019/29390054635882833/","535 W 52nd St, Unit 10F")</f>
        <v>535 W 52nd St, Unit 10F</v>
      </c>
      <c r="B2816" s="2" t="str">
        <f t="shared" si="445"/>
        <v>535 W 52nd St</v>
      </c>
      <c r="C2816" s="1" t="s">
        <v>57</v>
      </c>
      <c r="D2816" s="1" t="s">
        <v>41</v>
      </c>
      <c r="E2816" s="3">
        <v>654721</v>
      </c>
      <c r="Q2816" s="1" t="s">
        <v>191</v>
      </c>
      <c r="S2816" s="1" t="s">
        <v>191</v>
      </c>
      <c r="T2816" s="1" t="s">
        <v>203</v>
      </c>
      <c r="AA2816" s="1">
        <v>654721</v>
      </c>
      <c r="AB2816" s="1" t="s">
        <v>2203</v>
      </c>
      <c r="AC2816" s="5">
        <v>41897</v>
      </c>
      <c r="AF2816" s="1">
        <v>10019</v>
      </c>
      <c r="AJ2816" s="1">
        <v>2014</v>
      </c>
      <c r="AL2816" s="1">
        <v>95</v>
      </c>
    </row>
    <row r="2817" spans="1:38" x14ac:dyDescent="0.2">
      <c r="A2817" s="2" t="str">
        <f>HYPERLINK("https://www.compass.com/listing/535-west-52nd-street-unit-8a-manhattan-ny-10019/29390054937935937/","535 W 52nd St, Unit 8A")</f>
        <v>535 W 52nd St, Unit 8A</v>
      </c>
      <c r="B2817" s="2" t="str">
        <f t="shared" si="445"/>
        <v>535 W 52nd St</v>
      </c>
      <c r="C2817" s="1" t="s">
        <v>57</v>
      </c>
      <c r="D2817" s="1" t="s">
        <v>41</v>
      </c>
      <c r="E2817" s="3">
        <v>597147</v>
      </c>
      <c r="Q2817" s="1" t="s">
        <v>191</v>
      </c>
      <c r="S2817" s="1" t="s">
        <v>191</v>
      </c>
      <c r="T2817" s="1" t="s">
        <v>203</v>
      </c>
      <c r="AA2817" s="1">
        <v>597147</v>
      </c>
      <c r="AB2817" s="1" t="s">
        <v>2204</v>
      </c>
      <c r="AC2817" s="5">
        <v>41803</v>
      </c>
      <c r="AF2817" s="1">
        <v>10019</v>
      </c>
      <c r="AJ2817" s="1">
        <v>2014</v>
      </c>
      <c r="AL2817" s="1">
        <v>95</v>
      </c>
    </row>
    <row r="2818" spans="1:38" x14ac:dyDescent="0.2">
      <c r="A2818" s="2" t="str">
        <f>HYPERLINK("https://www.compass.com/listing/535-west-52nd-street-unit-11a-manhattan-ny-10019/29390056112263233/","535 W 52nd St, Unit 11A")</f>
        <v>535 W 52nd St, Unit 11A</v>
      </c>
      <c r="B2818" s="2" t="str">
        <f t="shared" si="445"/>
        <v>535 W 52nd St</v>
      </c>
      <c r="C2818" s="1" t="s">
        <v>57</v>
      </c>
      <c r="D2818" s="1" t="s">
        <v>41</v>
      </c>
      <c r="E2818" s="3">
        <v>615089</v>
      </c>
      <c r="Q2818" s="1" t="s">
        <v>191</v>
      </c>
      <c r="S2818" s="1" t="s">
        <v>191</v>
      </c>
      <c r="T2818" s="1" t="s">
        <v>203</v>
      </c>
      <c r="AA2818" s="1">
        <v>615089</v>
      </c>
      <c r="AB2818" s="1" t="s">
        <v>2205</v>
      </c>
      <c r="AC2818" s="5">
        <v>41928</v>
      </c>
      <c r="AF2818" s="1">
        <v>10019</v>
      </c>
      <c r="AJ2818" s="1">
        <v>2014</v>
      </c>
      <c r="AL2818" s="1">
        <v>95</v>
      </c>
    </row>
    <row r="2819" spans="1:38" x14ac:dyDescent="0.2">
      <c r="A2819" s="2" t="str">
        <f>HYPERLINK("https://www.compass.com/listing/535-west-52nd-street-unit-3i-manhattan-ny-10019/29390056414267777/","535 W 52nd St, Unit 3I")</f>
        <v>535 W 52nd St, Unit 3I</v>
      </c>
      <c r="B2819" s="2" t="str">
        <f t="shared" si="445"/>
        <v>535 W 52nd St</v>
      </c>
      <c r="C2819" s="1" t="s">
        <v>57</v>
      </c>
      <c r="D2819" s="1" t="s">
        <v>41</v>
      </c>
      <c r="E2819" s="3">
        <v>503126</v>
      </c>
      <c r="Q2819" s="1" t="s">
        <v>191</v>
      </c>
      <c r="S2819" s="1" t="s">
        <v>191</v>
      </c>
      <c r="T2819" s="1" t="s">
        <v>203</v>
      </c>
      <c r="AA2819" s="1">
        <v>503126</v>
      </c>
      <c r="AB2819" s="1" t="s">
        <v>2206</v>
      </c>
      <c r="AC2819" s="5">
        <v>41822</v>
      </c>
      <c r="AF2819" s="1">
        <v>10019</v>
      </c>
      <c r="AJ2819" s="1">
        <v>2014</v>
      </c>
      <c r="AL2819" s="1">
        <v>95</v>
      </c>
    </row>
    <row r="2820" spans="1:38" x14ac:dyDescent="0.2">
      <c r="A2820" s="2" t="str">
        <f>HYPERLINK("https://www.compass.com/listing/535-west-52nd-street-unit-1h-manhattan-ny-10019/29390056749875313/","535 W 52nd St, Unit 1H")</f>
        <v>535 W 52nd St, Unit 1H</v>
      </c>
      <c r="B2820" s="2" t="str">
        <f t="shared" si="445"/>
        <v>535 W 52nd St</v>
      </c>
      <c r="C2820" s="1" t="s">
        <v>57</v>
      </c>
      <c r="D2820" s="1" t="s">
        <v>41</v>
      </c>
      <c r="E2820" s="3">
        <v>667854</v>
      </c>
      <c r="Q2820" s="1" t="s">
        <v>191</v>
      </c>
      <c r="S2820" s="1" t="s">
        <v>191</v>
      </c>
      <c r="T2820" s="1" t="s">
        <v>203</v>
      </c>
      <c r="AA2820" s="1">
        <v>667854</v>
      </c>
      <c r="AB2820" s="1" t="s">
        <v>2207</v>
      </c>
      <c r="AC2820" s="5">
        <v>41850</v>
      </c>
      <c r="AF2820" s="1">
        <v>10019</v>
      </c>
      <c r="AJ2820" s="1">
        <v>2014</v>
      </c>
      <c r="AL2820" s="1">
        <v>95</v>
      </c>
    </row>
    <row r="2821" spans="1:38" x14ac:dyDescent="0.2">
      <c r="A2821" s="2" t="str">
        <f>HYPERLINK("https://www.compass.com/listing/535-west-52nd-street-unit-11b-manhattan-ny-10019/29390057001455697/","535 W 52nd St, Unit 11B")</f>
        <v>535 W 52nd St, Unit 11B</v>
      </c>
      <c r="B2821" s="2" t="str">
        <f t="shared" si="445"/>
        <v>535 W 52nd St</v>
      </c>
      <c r="C2821" s="1" t="s">
        <v>57</v>
      </c>
      <c r="D2821" s="1" t="s">
        <v>41</v>
      </c>
      <c r="E2821" s="3">
        <v>525398</v>
      </c>
      <c r="Q2821" s="1" t="s">
        <v>191</v>
      </c>
      <c r="S2821" s="1" t="s">
        <v>191</v>
      </c>
      <c r="T2821" s="1" t="s">
        <v>203</v>
      </c>
      <c r="AA2821" s="1">
        <v>525398</v>
      </c>
      <c r="AB2821" s="1" t="s">
        <v>2208</v>
      </c>
      <c r="AC2821" s="5">
        <v>41905</v>
      </c>
      <c r="AF2821" s="1">
        <v>10019</v>
      </c>
      <c r="AJ2821" s="1">
        <v>2014</v>
      </c>
      <c r="AL2821" s="1">
        <v>95</v>
      </c>
    </row>
    <row r="2822" spans="1:38" x14ac:dyDescent="0.2">
      <c r="A2822" s="2" t="str">
        <f>HYPERLINK("https://www.compass.com/listing/535-west-52nd-street-unit-5h-manhattan-ny-10019/29390057286683025/","535 W 52nd St, Unit 5H")</f>
        <v>535 W 52nd St, Unit 5H</v>
      </c>
      <c r="B2822" s="2" t="str">
        <f t="shared" si="445"/>
        <v>535 W 52nd St</v>
      </c>
      <c r="C2822" s="1" t="s">
        <v>57</v>
      </c>
      <c r="D2822" s="1" t="s">
        <v>41</v>
      </c>
      <c r="E2822" s="3">
        <v>449735</v>
      </c>
      <c r="Q2822" s="1" t="s">
        <v>191</v>
      </c>
      <c r="S2822" s="1" t="s">
        <v>191</v>
      </c>
      <c r="T2822" s="1" t="s">
        <v>203</v>
      </c>
      <c r="AA2822" s="1">
        <v>449735</v>
      </c>
      <c r="AB2822" s="1" t="s">
        <v>2209</v>
      </c>
      <c r="AC2822" s="5">
        <v>41806</v>
      </c>
      <c r="AF2822" s="1">
        <v>10019</v>
      </c>
      <c r="AJ2822" s="1">
        <v>2014</v>
      </c>
      <c r="AL2822" s="1">
        <v>95</v>
      </c>
    </row>
    <row r="2823" spans="1:38" x14ac:dyDescent="0.2">
      <c r="A2823" s="2" t="str">
        <f>HYPERLINK("https://www.compass.com/listing/535-west-52nd-street-unit-7i-manhattan-ny-10019/29390057613901953/","535 W 52nd St, Unit 7I")</f>
        <v>535 W 52nd St, Unit 7I</v>
      </c>
      <c r="B2823" s="2" t="str">
        <f t="shared" si="445"/>
        <v>535 W 52nd St</v>
      </c>
      <c r="C2823" s="1" t="s">
        <v>57</v>
      </c>
      <c r="D2823" s="1" t="s">
        <v>41</v>
      </c>
      <c r="E2823" s="3">
        <v>497568</v>
      </c>
      <c r="Q2823" s="1" t="s">
        <v>191</v>
      </c>
      <c r="S2823" s="1" t="s">
        <v>191</v>
      </c>
      <c r="T2823" s="1" t="s">
        <v>203</v>
      </c>
      <c r="AA2823" s="1">
        <v>497568</v>
      </c>
      <c r="AB2823" s="1" t="s">
        <v>2210</v>
      </c>
      <c r="AC2823" s="5">
        <v>41947</v>
      </c>
      <c r="AF2823" s="1">
        <v>10019</v>
      </c>
      <c r="AJ2823" s="1">
        <v>2014</v>
      </c>
      <c r="AL2823" s="1">
        <v>95</v>
      </c>
    </row>
    <row r="2824" spans="1:38" x14ac:dyDescent="0.2">
      <c r="A2824" s="2" t="str">
        <f>HYPERLINK("https://www.compass.com/listing/535-west-52nd-street-unit-3g-manhattan-ny-10019/29390057966145633/","535 W 52nd St, Unit 3G")</f>
        <v>535 W 52nd St, Unit 3G</v>
      </c>
      <c r="B2824" s="2" t="str">
        <f t="shared" si="445"/>
        <v>535 W 52nd St</v>
      </c>
      <c r="C2824" s="1" t="s">
        <v>57</v>
      </c>
      <c r="D2824" s="1" t="s">
        <v>41</v>
      </c>
      <c r="E2824" s="3">
        <v>521442</v>
      </c>
      <c r="Q2824" s="1" t="s">
        <v>191</v>
      </c>
      <c r="S2824" s="1" t="s">
        <v>191</v>
      </c>
      <c r="T2824" s="1" t="s">
        <v>203</v>
      </c>
      <c r="AA2824" s="1">
        <v>521442</v>
      </c>
      <c r="AB2824" s="1" t="s">
        <v>2211</v>
      </c>
      <c r="AC2824" s="5">
        <v>41799</v>
      </c>
      <c r="AF2824" s="1">
        <v>10019</v>
      </c>
      <c r="AJ2824" s="1">
        <v>2014</v>
      </c>
      <c r="AL2824" s="1">
        <v>95</v>
      </c>
    </row>
    <row r="2825" spans="1:38" x14ac:dyDescent="0.2">
      <c r="A2825" s="2" t="str">
        <f>HYPERLINK("https://www.compass.com/listing/535-west-52nd-street-unit-3f-manhattan-ny-10019/29390058251372961/","535 W 52nd St, Unit 3F")</f>
        <v>535 W 52nd St, Unit 3F</v>
      </c>
      <c r="B2825" s="2" t="str">
        <f t="shared" si="445"/>
        <v>535 W 52nd St</v>
      </c>
      <c r="C2825" s="1" t="s">
        <v>57</v>
      </c>
      <c r="D2825" s="1" t="s">
        <v>41</v>
      </c>
      <c r="E2825" s="3">
        <v>498841</v>
      </c>
      <c r="Q2825" s="1" t="s">
        <v>191</v>
      </c>
      <c r="S2825" s="1" t="s">
        <v>191</v>
      </c>
      <c r="T2825" s="1" t="s">
        <v>203</v>
      </c>
      <c r="AA2825" s="1">
        <v>498841</v>
      </c>
      <c r="AB2825" s="1" t="s">
        <v>2212</v>
      </c>
      <c r="AC2825" s="5">
        <v>41877</v>
      </c>
      <c r="AF2825" s="1">
        <v>10019</v>
      </c>
      <c r="AJ2825" s="1">
        <v>2014</v>
      </c>
      <c r="AL2825" s="1">
        <v>95</v>
      </c>
    </row>
    <row r="2826" spans="1:38" x14ac:dyDescent="0.2">
      <c r="A2826" s="2" t="str">
        <f>HYPERLINK("https://www.compass.com/listing/535-west-52nd-street-unit-1g-manhattan-ny-10019/29390058603757713/","535 W 52nd St, Unit 1G")</f>
        <v>535 W 52nd St, Unit 1G</v>
      </c>
      <c r="B2826" s="2" t="str">
        <f t="shared" si="445"/>
        <v>535 W 52nd St</v>
      </c>
      <c r="C2826" s="1" t="s">
        <v>57</v>
      </c>
      <c r="D2826" s="1" t="s">
        <v>41</v>
      </c>
      <c r="E2826" s="3">
        <v>651962</v>
      </c>
      <c r="Q2826" s="1" t="s">
        <v>191</v>
      </c>
      <c r="S2826" s="1" t="s">
        <v>191</v>
      </c>
      <c r="T2826" s="1" t="s">
        <v>203</v>
      </c>
      <c r="AA2826" s="1">
        <v>651962</v>
      </c>
      <c r="AB2826" s="1" t="s">
        <v>2213</v>
      </c>
      <c r="AC2826" s="5">
        <v>41837</v>
      </c>
      <c r="AF2826" s="1">
        <v>10019</v>
      </c>
      <c r="AJ2826" s="1">
        <v>2014</v>
      </c>
      <c r="AL2826" s="1">
        <v>95</v>
      </c>
    </row>
    <row r="2827" spans="1:38" x14ac:dyDescent="0.2">
      <c r="A2827" s="2" t="str">
        <f>HYPERLINK("https://www.compass.com/listing/535-west-52nd-street-unit-3h-manhattan-ny-10019/29390058897281137/","535 W 52nd St, Unit 3H")</f>
        <v>535 W 52nd St, Unit 3H</v>
      </c>
      <c r="B2827" s="2" t="str">
        <f t="shared" si="445"/>
        <v>535 W 52nd St</v>
      </c>
      <c r="C2827" s="1" t="s">
        <v>57</v>
      </c>
      <c r="D2827" s="1" t="s">
        <v>41</v>
      </c>
      <c r="E2827" s="3">
        <v>442199</v>
      </c>
      <c r="Q2827" s="1" t="s">
        <v>191</v>
      </c>
      <c r="S2827" s="1" t="s">
        <v>191</v>
      </c>
      <c r="T2827" s="1" t="s">
        <v>203</v>
      </c>
      <c r="AA2827" s="1">
        <v>442199</v>
      </c>
      <c r="AB2827" s="1" t="s">
        <v>2214</v>
      </c>
      <c r="AC2827" s="5">
        <v>41844</v>
      </c>
      <c r="AF2827" s="1">
        <v>10019</v>
      </c>
      <c r="AJ2827" s="1">
        <v>2014</v>
      </c>
      <c r="AL2827" s="1">
        <v>95</v>
      </c>
    </row>
    <row r="2828" spans="1:38" x14ac:dyDescent="0.2">
      <c r="A2828" s="2" t="str">
        <f>HYPERLINK("https://www.compass.com/listing/535-west-52nd-street-unit-5i-manhattan-ny-10019/29390059199285681/","535 W 52nd St, Unit 5I")</f>
        <v>535 W 52nd St, Unit 5I</v>
      </c>
      <c r="B2828" s="2" t="str">
        <f t="shared" si="445"/>
        <v>535 W 52nd St</v>
      </c>
      <c r="C2828" s="1" t="s">
        <v>57</v>
      </c>
      <c r="D2828" s="1" t="s">
        <v>41</v>
      </c>
      <c r="E2828" s="3">
        <v>518186</v>
      </c>
      <c r="Q2828" s="1" t="s">
        <v>191</v>
      </c>
      <c r="S2828" s="1" t="s">
        <v>191</v>
      </c>
      <c r="T2828" s="1" t="s">
        <v>203</v>
      </c>
      <c r="AA2828" s="1">
        <v>518186</v>
      </c>
      <c r="AB2828" s="1" t="s">
        <v>2215</v>
      </c>
      <c r="AC2828" s="5">
        <v>41810</v>
      </c>
      <c r="AF2828" s="1">
        <v>10019</v>
      </c>
      <c r="AJ2828" s="1">
        <v>2014</v>
      </c>
      <c r="AL2828" s="1">
        <v>95</v>
      </c>
    </row>
    <row r="2829" spans="1:38" x14ac:dyDescent="0.2">
      <c r="A2829" s="2" t="str">
        <f>HYPERLINK("https://www.compass.com/listing/535-west-52nd-street-unit-11i-manhattan-ny-10019/29390059551670433/","535 W 52nd St, Unit 11I")</f>
        <v>535 W 52nd St, Unit 11I</v>
      </c>
      <c r="B2829" s="2" t="str">
        <f t="shared" si="445"/>
        <v>535 W 52nd St</v>
      </c>
      <c r="C2829" s="1" t="s">
        <v>57</v>
      </c>
      <c r="D2829" s="1" t="s">
        <v>41</v>
      </c>
      <c r="E2829" s="3">
        <v>528226</v>
      </c>
      <c r="Q2829" s="1" t="s">
        <v>191</v>
      </c>
      <c r="S2829" s="1" t="s">
        <v>191</v>
      </c>
      <c r="T2829" s="1" t="s">
        <v>203</v>
      </c>
      <c r="AA2829" s="1">
        <v>528226</v>
      </c>
      <c r="AB2829" s="1" t="s">
        <v>2216</v>
      </c>
      <c r="AC2829" s="5">
        <v>41858</v>
      </c>
      <c r="AF2829" s="1">
        <v>10019</v>
      </c>
      <c r="AJ2829" s="1">
        <v>2014</v>
      </c>
      <c r="AL2829" s="1">
        <v>95</v>
      </c>
    </row>
    <row r="2830" spans="1:38" x14ac:dyDescent="0.2">
      <c r="A2830" s="2" t="str">
        <f>HYPERLINK("https://www.compass.com/listing/535-west-52nd-street-unit-9b-manhattan-ny-10019/29390059836805249/","535 W 52nd St, Unit 9B")</f>
        <v>535 W 52nd St, Unit 9B</v>
      </c>
      <c r="B2830" s="2" t="str">
        <f t="shared" si="445"/>
        <v>535 W 52nd St</v>
      </c>
      <c r="C2830" s="1" t="s">
        <v>57</v>
      </c>
      <c r="D2830" s="1" t="s">
        <v>41</v>
      </c>
      <c r="E2830" s="3">
        <v>474005</v>
      </c>
      <c r="Q2830" s="1" t="s">
        <v>191</v>
      </c>
      <c r="S2830" s="1" t="s">
        <v>191</v>
      </c>
      <c r="T2830" s="1" t="s">
        <v>203</v>
      </c>
      <c r="AA2830" s="1">
        <v>474005</v>
      </c>
      <c r="AB2830" s="1" t="s">
        <v>2217</v>
      </c>
      <c r="AC2830" s="5">
        <v>41793</v>
      </c>
      <c r="AF2830" s="1">
        <v>10019</v>
      </c>
      <c r="AJ2830" s="1">
        <v>2014</v>
      </c>
      <c r="AL2830" s="1">
        <v>95</v>
      </c>
    </row>
    <row r="2831" spans="1:38" x14ac:dyDescent="0.2">
      <c r="A2831" s="2" t="str">
        <f>HYPERLINK("https://www.compass.com/listing/535-west-52nd-street-unit-11h-manhattan-ny-10019/29390060138809793/","535 W 52nd St, Unit 11H")</f>
        <v>535 W 52nd St, Unit 11H</v>
      </c>
      <c r="B2831" s="2" t="str">
        <f t="shared" si="445"/>
        <v>535 W 52nd St</v>
      </c>
      <c r="C2831" s="1" t="s">
        <v>57</v>
      </c>
      <c r="D2831" s="1" t="s">
        <v>41</v>
      </c>
      <c r="E2831" s="3">
        <v>494916</v>
      </c>
      <c r="Q2831" s="1" t="s">
        <v>191</v>
      </c>
      <c r="S2831" s="1" t="s">
        <v>191</v>
      </c>
      <c r="T2831" s="1" t="s">
        <v>203</v>
      </c>
      <c r="AA2831" s="1">
        <v>494916</v>
      </c>
      <c r="AB2831" s="1" t="s">
        <v>2218</v>
      </c>
      <c r="AC2831" s="5">
        <v>41795</v>
      </c>
      <c r="AF2831" s="1">
        <v>10019</v>
      </c>
      <c r="AJ2831" s="1">
        <v>2014</v>
      </c>
      <c r="AL2831" s="1">
        <v>95</v>
      </c>
    </row>
    <row r="2832" spans="1:38" x14ac:dyDescent="0.2">
      <c r="A2832" s="2" t="str">
        <f>HYPERLINK("https://www.compass.com/listing/535-west-52nd-street-unit-8b-manhattan-ny-10019/29390060474417329/","535 W 52nd St, Unit 8B")</f>
        <v>535 W 52nd St, Unit 8B</v>
      </c>
      <c r="B2832" s="2" t="str">
        <f t="shared" si="445"/>
        <v>535 W 52nd St</v>
      </c>
      <c r="C2832" s="1" t="s">
        <v>57</v>
      </c>
      <c r="D2832" s="1" t="s">
        <v>41</v>
      </c>
      <c r="E2832" s="3">
        <v>463965</v>
      </c>
      <c r="Q2832" s="1" t="s">
        <v>191</v>
      </c>
      <c r="S2832" s="1" t="s">
        <v>191</v>
      </c>
      <c r="T2832" s="1" t="s">
        <v>203</v>
      </c>
      <c r="AA2832" s="1">
        <v>463965</v>
      </c>
      <c r="AB2832" s="1" t="s">
        <v>2219</v>
      </c>
      <c r="AC2832" s="5">
        <v>41807</v>
      </c>
      <c r="AF2832" s="1">
        <v>10019</v>
      </c>
      <c r="AJ2832" s="1">
        <v>2014</v>
      </c>
      <c r="AL2832" s="1">
        <v>95</v>
      </c>
    </row>
    <row r="2833" spans="1:38" x14ac:dyDescent="0.2">
      <c r="A2833" s="2" t="str">
        <f>HYPERLINK("https://www.compass.com/listing/535-west-52nd-street-unit-7a-manhattan-ny-10019/29390060751163537/","535 W 52nd St, Unit 7A")</f>
        <v>535 W 52nd St, Unit 7A</v>
      </c>
      <c r="B2833" s="2" t="str">
        <f t="shared" si="445"/>
        <v>535 W 52nd St</v>
      </c>
      <c r="C2833" s="1" t="s">
        <v>57</v>
      </c>
      <c r="D2833" s="1" t="s">
        <v>41</v>
      </c>
      <c r="E2833" s="3">
        <v>589611</v>
      </c>
      <c r="Q2833" s="1" t="s">
        <v>191</v>
      </c>
      <c r="S2833" s="1" t="s">
        <v>191</v>
      </c>
      <c r="T2833" s="1" t="s">
        <v>203</v>
      </c>
      <c r="AA2833" s="1">
        <v>589611</v>
      </c>
      <c r="AB2833" s="1" t="s">
        <v>2220</v>
      </c>
      <c r="AC2833" s="5">
        <v>41834</v>
      </c>
      <c r="AF2833" s="1">
        <v>10019</v>
      </c>
      <c r="AJ2833" s="1">
        <v>2014</v>
      </c>
      <c r="AL2833" s="1">
        <v>95</v>
      </c>
    </row>
    <row r="2834" spans="1:38" x14ac:dyDescent="0.2">
      <c r="A2834" s="2" t="str">
        <f>HYPERLINK("https://www.compass.com/listing/535-west-52nd-street-unit-9c-manhattan-ny-10019/29390061061556689/","535 W 52nd St, Unit 9C")</f>
        <v>535 W 52nd St, Unit 9C</v>
      </c>
      <c r="B2834" s="2" t="str">
        <f t="shared" si="445"/>
        <v>535 W 52nd St</v>
      </c>
      <c r="C2834" s="1" t="s">
        <v>57</v>
      </c>
      <c r="D2834" s="1" t="s">
        <v>41</v>
      </c>
      <c r="E2834" s="3">
        <v>418082</v>
      </c>
      <c r="Q2834" s="1" t="s">
        <v>191</v>
      </c>
      <c r="S2834" s="1" t="s">
        <v>191</v>
      </c>
      <c r="T2834" s="1" t="s">
        <v>203</v>
      </c>
      <c r="AA2834" s="1">
        <v>418082</v>
      </c>
      <c r="AB2834" s="1" t="s">
        <v>2221</v>
      </c>
      <c r="AC2834" s="5">
        <v>41789</v>
      </c>
      <c r="AF2834" s="1">
        <v>10019</v>
      </c>
      <c r="AJ2834" s="1">
        <v>2014</v>
      </c>
      <c r="AL2834" s="1">
        <v>95</v>
      </c>
    </row>
    <row r="2835" spans="1:38" x14ac:dyDescent="0.2">
      <c r="A2835" s="2" t="str">
        <f>HYPERLINK("https://www.compass.com/listing/535-west-52nd-street-unit-7b-manhattan-ny-10019/29390061481050305/","535 W 52nd St, Unit 7B")</f>
        <v>535 W 52nd St, Unit 7B</v>
      </c>
      <c r="B2835" s="2" t="str">
        <f t="shared" si="445"/>
        <v>535 W 52nd St</v>
      </c>
      <c r="C2835" s="1" t="s">
        <v>57</v>
      </c>
      <c r="D2835" s="1" t="s">
        <v>41</v>
      </c>
      <c r="E2835" s="3">
        <v>453925</v>
      </c>
      <c r="Q2835" s="1" t="s">
        <v>191</v>
      </c>
      <c r="S2835" s="1" t="s">
        <v>191</v>
      </c>
      <c r="T2835" s="1" t="s">
        <v>203</v>
      </c>
      <c r="AA2835" s="1">
        <v>453925</v>
      </c>
      <c r="AB2835" s="1" t="s">
        <v>2222</v>
      </c>
      <c r="AC2835" s="5">
        <v>41789</v>
      </c>
      <c r="AF2835" s="1">
        <v>10019</v>
      </c>
      <c r="AJ2835" s="1">
        <v>2014</v>
      </c>
      <c r="AL2835" s="1">
        <v>95</v>
      </c>
    </row>
    <row r="2836" spans="1:38" x14ac:dyDescent="0.2">
      <c r="A2836" s="2" t="str">
        <f>HYPERLINK("https://www.compass.com/listing/535-west-52nd-street-unit-8c-manhattan-ny-10019/29390061757796513/","535 W 52nd St, Unit 8C")</f>
        <v>535 W 52nd St, Unit 8C</v>
      </c>
      <c r="B2836" s="2" t="str">
        <f t="shared" si="445"/>
        <v>535 W 52nd St</v>
      </c>
      <c r="C2836" s="1" t="s">
        <v>57</v>
      </c>
      <c r="D2836" s="1" t="s">
        <v>41</v>
      </c>
      <c r="E2836" s="3">
        <v>425969</v>
      </c>
      <c r="Q2836" s="1" t="s">
        <v>191</v>
      </c>
      <c r="S2836" s="1" t="s">
        <v>191</v>
      </c>
      <c r="T2836" s="1" t="s">
        <v>203</v>
      </c>
      <c r="AA2836" s="1">
        <v>425969</v>
      </c>
      <c r="AB2836" s="1" t="s">
        <v>2223</v>
      </c>
      <c r="AC2836" s="5">
        <v>41848</v>
      </c>
      <c r="AF2836" s="1">
        <v>10019</v>
      </c>
      <c r="AJ2836" s="1">
        <v>2014</v>
      </c>
      <c r="AL2836" s="1">
        <v>95</v>
      </c>
    </row>
    <row r="2837" spans="1:38" x14ac:dyDescent="0.2">
      <c r="A2837" s="2" t="str">
        <f>HYPERLINK("https://www.compass.com/listing/535-west-52nd-street-unit-6a-manhattan-ny-10019/29390062026246625/","535 W 52nd St, Unit 6A")</f>
        <v>535 W 52nd St, Unit 6A</v>
      </c>
      <c r="B2837" s="2" t="str">
        <f t="shared" si="445"/>
        <v>535 W 52nd St</v>
      </c>
      <c r="C2837" s="1" t="s">
        <v>57</v>
      </c>
      <c r="D2837" s="1" t="s">
        <v>41</v>
      </c>
      <c r="E2837" s="3">
        <v>577067</v>
      </c>
      <c r="Q2837" s="1" t="s">
        <v>191</v>
      </c>
      <c r="S2837" s="1" t="s">
        <v>191</v>
      </c>
      <c r="T2837" s="1" t="s">
        <v>203</v>
      </c>
      <c r="AA2837" s="1">
        <v>577067</v>
      </c>
      <c r="AB2837" s="1" t="s">
        <v>2224</v>
      </c>
      <c r="AC2837" s="5">
        <v>41788</v>
      </c>
      <c r="AF2837" s="1">
        <v>10019</v>
      </c>
      <c r="AJ2837" s="1">
        <v>2014</v>
      </c>
      <c r="AL2837" s="1">
        <v>95</v>
      </c>
    </row>
    <row r="2838" spans="1:38" x14ac:dyDescent="0.2">
      <c r="A2838" s="2" t="str">
        <f>HYPERLINK("https://www.compass.com/listing/535-west-52nd-street-unit-7c-manhattan-ny-10019/29390062353465553/","535 W 52nd St, Unit 7C")</f>
        <v>535 W 52nd St, Unit 7C</v>
      </c>
      <c r="B2838" s="2" t="str">
        <f t="shared" si="445"/>
        <v>535 W 52nd St</v>
      </c>
      <c r="C2838" s="1" t="s">
        <v>57</v>
      </c>
      <c r="D2838" s="1" t="s">
        <v>41</v>
      </c>
      <c r="E2838" s="3">
        <v>420949</v>
      </c>
      <c r="Q2838" s="1" t="s">
        <v>191</v>
      </c>
      <c r="S2838" s="1" t="s">
        <v>191</v>
      </c>
      <c r="T2838" s="1" t="s">
        <v>203</v>
      </c>
      <c r="AA2838" s="1">
        <v>420949</v>
      </c>
      <c r="AB2838" s="1" t="s">
        <v>2225</v>
      </c>
      <c r="AC2838" s="5">
        <v>41830</v>
      </c>
      <c r="AF2838" s="1">
        <v>10019</v>
      </c>
      <c r="AJ2838" s="1">
        <v>2014</v>
      </c>
      <c r="AL2838" s="1">
        <v>95</v>
      </c>
    </row>
    <row r="2839" spans="1:38" x14ac:dyDescent="0.2">
      <c r="A2839" s="2" t="str">
        <f>HYPERLINK("https://www.compass.com/listing/535-west-52nd-street-unit-5b-manhattan-ny-10019/29390062605045937/","535 W 52nd St, Unit 5B")</f>
        <v>535 W 52nd St, Unit 5B</v>
      </c>
      <c r="B2839" s="2" t="str">
        <f t="shared" si="445"/>
        <v>535 W 52nd St</v>
      </c>
      <c r="C2839" s="1" t="s">
        <v>57</v>
      </c>
      <c r="D2839" s="1" t="s">
        <v>41</v>
      </c>
      <c r="E2839" s="3">
        <v>438865</v>
      </c>
      <c r="Q2839" s="1" t="s">
        <v>191</v>
      </c>
      <c r="S2839" s="1" t="s">
        <v>191</v>
      </c>
      <c r="T2839" s="1" t="s">
        <v>203</v>
      </c>
      <c r="AA2839" s="1">
        <v>438865</v>
      </c>
      <c r="AB2839" s="1" t="s">
        <v>2226</v>
      </c>
      <c r="AC2839" s="5">
        <v>41877</v>
      </c>
      <c r="AF2839" s="1">
        <v>10019</v>
      </c>
      <c r="AJ2839" s="1">
        <v>2014</v>
      </c>
      <c r="AL2839" s="1">
        <v>95</v>
      </c>
    </row>
    <row r="2840" spans="1:38" x14ac:dyDescent="0.2">
      <c r="A2840" s="2" t="str">
        <f>HYPERLINK("https://www.compass.com/listing/535-west-52nd-street-unit-8d-manhattan-ny-10019/29390062890273265/","535 W 52nd St, Unit 8D")</f>
        <v>535 W 52nd St, Unit 8D</v>
      </c>
      <c r="B2840" s="2" t="str">
        <f t="shared" si="445"/>
        <v>535 W 52nd St</v>
      </c>
      <c r="C2840" s="1" t="s">
        <v>57</v>
      </c>
      <c r="D2840" s="1" t="s">
        <v>41</v>
      </c>
      <c r="E2840" s="3">
        <v>453354</v>
      </c>
      <c r="Q2840" s="1" t="s">
        <v>191</v>
      </c>
      <c r="S2840" s="1" t="s">
        <v>191</v>
      </c>
      <c r="T2840" s="1" t="s">
        <v>203</v>
      </c>
      <c r="AA2840" s="1">
        <v>453354</v>
      </c>
      <c r="AB2840" s="1" t="s">
        <v>2227</v>
      </c>
      <c r="AC2840" s="5">
        <v>41788</v>
      </c>
      <c r="AF2840" s="1">
        <v>10019</v>
      </c>
      <c r="AJ2840" s="1">
        <v>2014</v>
      </c>
      <c r="AL2840" s="1">
        <v>95</v>
      </c>
    </row>
    <row r="2841" spans="1:38" x14ac:dyDescent="0.2">
      <c r="A2841" s="2" t="str">
        <f>HYPERLINK("https://www.compass.com/listing/535-west-52nd-street-unit-9e-manhattan-ny-10019/29390063435518145/","535 W 52nd St, Unit 9E")</f>
        <v>535 W 52nd St, Unit 9E</v>
      </c>
      <c r="B2841" s="2" t="str">
        <f t="shared" si="445"/>
        <v>535 W 52nd St</v>
      </c>
      <c r="C2841" s="1" t="s">
        <v>57</v>
      </c>
      <c r="D2841" s="1" t="s">
        <v>41</v>
      </c>
      <c r="E2841" s="3">
        <v>455225</v>
      </c>
      <c r="Q2841" s="1" t="s">
        <v>191</v>
      </c>
      <c r="S2841" s="1" t="s">
        <v>191</v>
      </c>
      <c r="T2841" s="1" t="s">
        <v>203</v>
      </c>
      <c r="AA2841" s="1">
        <v>455225</v>
      </c>
      <c r="AB2841" s="1" t="s">
        <v>2228</v>
      </c>
      <c r="AC2841" s="5">
        <v>41817</v>
      </c>
      <c r="AF2841" s="1">
        <v>10019</v>
      </c>
      <c r="AJ2841" s="1">
        <v>2014</v>
      </c>
      <c r="AL2841" s="1">
        <v>95</v>
      </c>
    </row>
    <row r="2842" spans="1:38" x14ac:dyDescent="0.2">
      <c r="A2842" s="2" t="str">
        <f>HYPERLINK("https://www.compass.com/listing/535-west-52nd-street-unit-5a-manhattan-ny-10019/29390064031187185/","535 W 52nd St, Unit 5A")</f>
        <v>535 W 52nd St, Unit 5A</v>
      </c>
      <c r="B2842" s="2" t="str">
        <f t="shared" si="445"/>
        <v>535 W 52nd St</v>
      </c>
      <c r="C2842" s="1" t="s">
        <v>57</v>
      </c>
      <c r="D2842" s="1" t="s">
        <v>41</v>
      </c>
      <c r="E2842" s="3">
        <v>567027</v>
      </c>
      <c r="Q2842" s="1" t="s">
        <v>191</v>
      </c>
      <c r="S2842" s="1" t="s">
        <v>191</v>
      </c>
      <c r="T2842" s="1" t="s">
        <v>203</v>
      </c>
      <c r="AA2842" s="1">
        <v>567027</v>
      </c>
      <c r="AB2842" s="1" t="s">
        <v>2229</v>
      </c>
      <c r="AC2842" s="5">
        <v>41870</v>
      </c>
      <c r="AF2842" s="1">
        <v>10019</v>
      </c>
      <c r="AJ2842" s="1">
        <v>2014</v>
      </c>
      <c r="AL2842" s="1">
        <v>95</v>
      </c>
    </row>
    <row r="2843" spans="1:38" x14ac:dyDescent="0.2">
      <c r="A2843" s="2" t="str">
        <f>HYPERLINK("https://www.compass.com/listing/535-west-52nd-street-unit-6b-manhattan-ny-10019/29390064307933393/","535 W 52nd St, Unit 6B")</f>
        <v>535 W 52nd St, Unit 6B</v>
      </c>
      <c r="B2843" s="2" t="str">
        <f t="shared" si="445"/>
        <v>535 W 52nd St</v>
      </c>
      <c r="C2843" s="1" t="s">
        <v>57</v>
      </c>
      <c r="D2843" s="1" t="s">
        <v>41</v>
      </c>
      <c r="E2843" s="3">
        <v>448905</v>
      </c>
      <c r="Q2843" s="1" t="s">
        <v>191</v>
      </c>
      <c r="S2843" s="1" t="s">
        <v>191</v>
      </c>
      <c r="T2843" s="1" t="s">
        <v>203</v>
      </c>
      <c r="AA2843" s="1">
        <v>448905</v>
      </c>
      <c r="AB2843" s="1" t="s">
        <v>2230</v>
      </c>
      <c r="AC2843" s="5">
        <v>41834</v>
      </c>
      <c r="AF2843" s="1">
        <v>10019</v>
      </c>
      <c r="AJ2843" s="1">
        <v>2014</v>
      </c>
      <c r="AL2843" s="1">
        <v>95</v>
      </c>
    </row>
    <row r="2844" spans="1:38" x14ac:dyDescent="0.2">
      <c r="A2844" s="2" t="str">
        <f>HYPERLINK("https://www.compass.com/listing/535-west-52nd-street-unit-7e-manhattan-ny-10019/29390064593160721/","535 W 52nd St, Unit 7E")</f>
        <v>535 W 52nd St, Unit 7E</v>
      </c>
      <c r="B2844" s="2" t="str">
        <f t="shared" si="445"/>
        <v>535 W 52nd St</v>
      </c>
      <c r="C2844" s="1" t="s">
        <v>57</v>
      </c>
      <c r="D2844" s="1" t="s">
        <v>41</v>
      </c>
      <c r="E2844" s="3">
        <v>445185</v>
      </c>
      <c r="Q2844" s="1" t="s">
        <v>191</v>
      </c>
      <c r="S2844" s="1" t="s">
        <v>191</v>
      </c>
      <c r="T2844" s="1" t="s">
        <v>203</v>
      </c>
      <c r="AA2844" s="1">
        <v>445185</v>
      </c>
      <c r="AB2844" s="1" t="s">
        <v>2231</v>
      </c>
      <c r="AC2844" s="5">
        <v>41828</v>
      </c>
      <c r="AF2844" s="1">
        <v>10019</v>
      </c>
      <c r="AJ2844" s="1">
        <v>2014</v>
      </c>
      <c r="AL2844" s="1">
        <v>95</v>
      </c>
    </row>
    <row r="2845" spans="1:38" x14ac:dyDescent="0.2">
      <c r="A2845" s="2" t="str">
        <f>HYPERLINK("https://www.compass.com/listing/535-west-52nd-street-unit-2b-manhattan-ny-10019/29390064903602433/","535 W 52nd St, Unit 2B")</f>
        <v>535 W 52nd St, Unit 2B</v>
      </c>
      <c r="B2845" s="2" t="str">
        <f t="shared" si="445"/>
        <v>535 W 52nd St</v>
      </c>
      <c r="C2845" s="1" t="s">
        <v>57</v>
      </c>
      <c r="D2845" s="1" t="s">
        <v>41</v>
      </c>
      <c r="E2845" s="3">
        <v>378625</v>
      </c>
      <c r="Q2845" s="1" t="s">
        <v>191</v>
      </c>
      <c r="S2845" s="1" t="s">
        <v>191</v>
      </c>
      <c r="T2845" s="1" t="s">
        <v>203</v>
      </c>
      <c r="AA2845" s="1">
        <v>378625</v>
      </c>
      <c r="AB2845" s="1" t="s">
        <v>2232</v>
      </c>
      <c r="AC2845" s="5">
        <v>41936</v>
      </c>
      <c r="AF2845" s="1">
        <v>10019</v>
      </c>
      <c r="AJ2845" s="1">
        <v>2014</v>
      </c>
      <c r="AL2845" s="1">
        <v>95</v>
      </c>
    </row>
    <row r="2846" spans="1:38" x14ac:dyDescent="0.2">
      <c r="A2846" s="2" t="str">
        <f>HYPERLINK("https://www.compass.com/listing/535-west-52nd-street-unit-4c-manhattan-ny-10019/29390065197125857/","535 W 52nd St, Unit 4C")</f>
        <v>535 W 52nd St, Unit 4C</v>
      </c>
      <c r="B2846" s="2" t="str">
        <f t="shared" si="445"/>
        <v>535 W 52nd St</v>
      </c>
      <c r="C2846" s="1" t="s">
        <v>57</v>
      </c>
      <c r="D2846" s="1" t="s">
        <v>41</v>
      </c>
      <c r="E2846" s="3">
        <v>405889</v>
      </c>
      <c r="Q2846" s="1" t="s">
        <v>191</v>
      </c>
      <c r="S2846" s="1" t="s">
        <v>191</v>
      </c>
      <c r="T2846" s="1" t="s">
        <v>203</v>
      </c>
      <c r="AA2846" s="1">
        <v>405889</v>
      </c>
      <c r="AB2846" s="1" t="s">
        <v>2233</v>
      </c>
      <c r="AC2846" s="5">
        <v>41781</v>
      </c>
      <c r="AF2846" s="1">
        <v>10019</v>
      </c>
      <c r="AJ2846" s="1">
        <v>2014</v>
      </c>
      <c r="AL2846" s="1">
        <v>95</v>
      </c>
    </row>
    <row r="2847" spans="1:38" x14ac:dyDescent="0.2">
      <c r="A2847" s="2" t="str">
        <f>HYPERLINK("https://www.compass.com/listing/535-west-52nd-street-unit-9f-manhattan-ny-10019/29390065490741793/","535 W 52nd St, Unit 9F")</f>
        <v>535 W 52nd St, Unit 9F</v>
      </c>
      <c r="B2847" s="2" t="str">
        <f t="shared" si="445"/>
        <v>535 W 52nd St</v>
      </c>
      <c r="C2847" s="1" t="s">
        <v>57</v>
      </c>
      <c r="D2847" s="1" t="s">
        <v>41</v>
      </c>
      <c r="E2847" s="3">
        <v>611791</v>
      </c>
      <c r="Q2847" s="1" t="s">
        <v>191</v>
      </c>
      <c r="S2847" s="1" t="s">
        <v>191</v>
      </c>
      <c r="T2847" s="1" t="s">
        <v>203</v>
      </c>
      <c r="AA2847" s="1">
        <v>611791</v>
      </c>
      <c r="AB2847" s="1" t="s">
        <v>2234</v>
      </c>
      <c r="AC2847" s="5">
        <v>41779</v>
      </c>
      <c r="AF2847" s="1">
        <v>10019</v>
      </c>
      <c r="AJ2847" s="1">
        <v>2014</v>
      </c>
      <c r="AL2847" s="1">
        <v>95</v>
      </c>
    </row>
    <row r="2848" spans="1:38" x14ac:dyDescent="0.2">
      <c r="A2848" s="2" t="str">
        <f>HYPERLINK("https://www.compass.com/listing/535-west-52nd-street-unit-3c-manhattan-ny-10019/29390065792794897/","535 W 52nd St, Unit 3C")</f>
        <v>535 W 52nd St, Unit 3C</v>
      </c>
      <c r="B2848" s="2" t="str">
        <f t="shared" si="445"/>
        <v>535 W 52nd St</v>
      </c>
      <c r="C2848" s="1" t="s">
        <v>57</v>
      </c>
      <c r="D2848" s="1" t="s">
        <v>41</v>
      </c>
      <c r="E2848" s="3">
        <v>400869</v>
      </c>
      <c r="Q2848" s="1" t="s">
        <v>191</v>
      </c>
      <c r="S2848" s="1" t="s">
        <v>191</v>
      </c>
      <c r="T2848" s="1" t="s">
        <v>203</v>
      </c>
      <c r="AA2848" s="1">
        <v>400869</v>
      </c>
      <c r="AB2848" s="1" t="s">
        <v>2235</v>
      </c>
      <c r="AC2848" s="5">
        <v>41842</v>
      </c>
      <c r="AF2848" s="1">
        <v>10019</v>
      </c>
      <c r="AJ2848" s="1">
        <v>2014</v>
      </c>
      <c r="AL2848" s="1">
        <v>95</v>
      </c>
    </row>
    <row r="2849" spans="1:38" x14ac:dyDescent="0.2">
      <c r="A2849" s="2" t="str">
        <f>HYPERLINK("https://www.compass.com/listing/535-west-52nd-street-unit-4d-manhattan-ny-10019/29390066061152497/","535 W 52nd St, Unit 4D")</f>
        <v>535 W 52nd St, Unit 4D</v>
      </c>
      <c r="B2849" s="2" t="str">
        <f t="shared" si="445"/>
        <v>535 W 52nd St</v>
      </c>
      <c r="C2849" s="1" t="s">
        <v>57</v>
      </c>
      <c r="D2849" s="1" t="s">
        <v>41</v>
      </c>
      <c r="E2849" s="3">
        <v>398134</v>
      </c>
      <c r="Q2849" s="1" t="s">
        <v>191</v>
      </c>
      <c r="S2849" s="1" t="s">
        <v>191</v>
      </c>
      <c r="T2849" s="1" t="s">
        <v>203</v>
      </c>
      <c r="AA2849" s="1">
        <v>398134</v>
      </c>
      <c r="AB2849" s="1" t="s">
        <v>2236</v>
      </c>
      <c r="AC2849" s="5">
        <v>41851</v>
      </c>
      <c r="AF2849" s="1">
        <v>10019</v>
      </c>
      <c r="AJ2849" s="1">
        <v>2014</v>
      </c>
      <c r="AL2849" s="1">
        <v>95</v>
      </c>
    </row>
    <row r="2850" spans="1:38" x14ac:dyDescent="0.2">
      <c r="A2850" s="2" t="str">
        <f>HYPERLINK("https://www.compass.com/listing/535-west-52nd-street-unit-9g-manhattan-ny-10019/29390066371545649/","535 W 52nd St, Unit 9G")</f>
        <v>535 W 52nd St, Unit 9G</v>
      </c>
      <c r="B2850" s="2" t="str">
        <f t="shared" si="445"/>
        <v>535 W 52nd St</v>
      </c>
      <c r="C2850" s="1" t="s">
        <v>57</v>
      </c>
      <c r="D2850" s="1" t="s">
        <v>41</v>
      </c>
      <c r="E2850" s="3">
        <v>636906</v>
      </c>
      <c r="Q2850" s="1" t="s">
        <v>191</v>
      </c>
      <c r="S2850" s="1" t="s">
        <v>191</v>
      </c>
      <c r="T2850" s="1" t="s">
        <v>203</v>
      </c>
      <c r="AA2850" s="1">
        <v>636906</v>
      </c>
      <c r="AB2850" s="1" t="s">
        <v>2237</v>
      </c>
      <c r="AC2850" s="5">
        <v>41870</v>
      </c>
      <c r="AF2850" s="1">
        <v>10019</v>
      </c>
      <c r="AJ2850" s="1">
        <v>2014</v>
      </c>
      <c r="AL2850" s="1">
        <v>95</v>
      </c>
    </row>
    <row r="2851" spans="1:38" x14ac:dyDescent="0.2">
      <c r="A2851" s="2" t="str">
        <f>HYPERLINK("https://www.compass.com/listing/535-west-52nd-street-unit-8f-manhattan-ny-10019/29390066707153185/","535 W 52nd St, Unit 8F")</f>
        <v>535 W 52nd St, Unit 8F</v>
      </c>
      <c r="B2851" s="2" t="str">
        <f t="shared" si="445"/>
        <v>535 W 52nd St</v>
      </c>
      <c r="C2851" s="1" t="s">
        <v>57</v>
      </c>
      <c r="D2851" s="1" t="s">
        <v>41</v>
      </c>
      <c r="E2851" s="3">
        <v>594215</v>
      </c>
      <c r="Q2851" s="1" t="s">
        <v>191</v>
      </c>
      <c r="S2851" s="1" t="s">
        <v>191</v>
      </c>
      <c r="T2851" s="1" t="s">
        <v>203</v>
      </c>
      <c r="AA2851" s="1">
        <v>594215</v>
      </c>
      <c r="AB2851" s="1" t="s">
        <v>2238</v>
      </c>
      <c r="AC2851" s="5">
        <v>41876</v>
      </c>
      <c r="AF2851" s="1">
        <v>10019</v>
      </c>
      <c r="AJ2851" s="1">
        <v>2014</v>
      </c>
      <c r="AL2851" s="1">
        <v>95</v>
      </c>
    </row>
    <row r="2852" spans="1:38" x14ac:dyDescent="0.2">
      <c r="A2852" s="2" t="str">
        <f>HYPERLINK("https://www.compass.com/listing/535-west-52nd-street-unit-8e-manhattan-ny-10019/29390066967122177/","535 W 52nd St, Unit 8E")</f>
        <v>535 W 52nd St, Unit 8E</v>
      </c>
      <c r="B2852" s="2" t="str">
        <f t="shared" si="445"/>
        <v>535 W 52nd St</v>
      </c>
      <c r="C2852" s="1" t="s">
        <v>57</v>
      </c>
      <c r="D2852" s="1" t="s">
        <v>41</v>
      </c>
      <c r="E2852" s="3">
        <v>450205</v>
      </c>
      <c r="Q2852" s="1" t="s">
        <v>191</v>
      </c>
      <c r="S2852" s="1" t="s">
        <v>191</v>
      </c>
      <c r="T2852" s="1" t="s">
        <v>203</v>
      </c>
      <c r="AA2852" s="1">
        <v>450205</v>
      </c>
      <c r="AB2852" s="1" t="s">
        <v>2239</v>
      </c>
      <c r="AC2852" s="5">
        <v>41789</v>
      </c>
      <c r="AF2852" s="1">
        <v>10019</v>
      </c>
      <c r="AJ2852" s="1">
        <v>2014</v>
      </c>
      <c r="AL2852" s="1">
        <v>95</v>
      </c>
    </row>
    <row r="2853" spans="1:38" x14ac:dyDescent="0.2">
      <c r="A2853" s="2" t="str">
        <f>HYPERLINK("https://www.compass.com/listing/535-west-52nd-street-unit-7d-manhattan-ny-10019/29390067235572289/","535 W 52nd St, Unit 7D")</f>
        <v>535 W 52nd St, Unit 7D</v>
      </c>
      <c r="B2853" s="2" t="str">
        <f t="shared" si="445"/>
        <v>535 W 52nd St</v>
      </c>
      <c r="C2853" s="1" t="s">
        <v>57</v>
      </c>
      <c r="D2853" s="1" t="s">
        <v>41</v>
      </c>
      <c r="E2853" s="3">
        <v>433274</v>
      </c>
      <c r="Q2853" s="1" t="s">
        <v>191</v>
      </c>
      <c r="S2853" s="1" t="s">
        <v>191</v>
      </c>
      <c r="T2853" s="1" t="s">
        <v>203</v>
      </c>
      <c r="AA2853" s="1">
        <v>433274</v>
      </c>
      <c r="AB2853" s="1" t="s">
        <v>2240</v>
      </c>
      <c r="AC2853" s="5">
        <v>41831</v>
      </c>
      <c r="AF2853" s="1">
        <v>10019</v>
      </c>
      <c r="AJ2853" s="1">
        <v>2014</v>
      </c>
      <c r="AL2853" s="1">
        <v>95</v>
      </c>
    </row>
    <row r="2854" spans="1:38" x14ac:dyDescent="0.2">
      <c r="A2854" s="2" t="str">
        <f>HYPERLINK("https://www.compass.com/listing/535-west-52nd-street-unit-7f-manhattan-ny-10019/29390067546014001/","535 W 52nd St, Unit 7F")</f>
        <v>535 W 52nd St, Unit 7F</v>
      </c>
      <c r="B2854" s="2" t="str">
        <f t="shared" si="445"/>
        <v>535 W 52nd St</v>
      </c>
      <c r="C2854" s="1" t="s">
        <v>57</v>
      </c>
      <c r="D2854" s="1" t="s">
        <v>41</v>
      </c>
      <c r="E2854" s="3">
        <v>584175</v>
      </c>
      <c r="Q2854" s="1" t="s">
        <v>191</v>
      </c>
      <c r="S2854" s="1" t="s">
        <v>191</v>
      </c>
      <c r="T2854" s="1" t="s">
        <v>203</v>
      </c>
      <c r="AA2854" s="1">
        <v>584175</v>
      </c>
      <c r="AB2854" s="1" t="s">
        <v>2241</v>
      </c>
      <c r="AC2854" s="5">
        <v>41871</v>
      </c>
      <c r="AF2854" s="1">
        <v>10019</v>
      </c>
      <c r="AJ2854" s="1">
        <v>2014</v>
      </c>
      <c r="AL2854" s="1">
        <v>95</v>
      </c>
    </row>
    <row r="2855" spans="1:38" x14ac:dyDescent="0.2">
      <c r="A2855" s="2" t="str">
        <f>HYPERLINK("https://www.compass.com/listing/535-west-52nd-street-unit-1a-manhattan-ny-10019/29390067805982993/","535 W 52nd St, Unit 1A")</f>
        <v>535 W 52nd St, Unit 1A</v>
      </c>
      <c r="B2855" s="2" t="str">
        <f t="shared" si="445"/>
        <v>535 W 52nd St</v>
      </c>
      <c r="C2855" s="1" t="s">
        <v>57</v>
      </c>
      <c r="D2855" s="1" t="s">
        <v>41</v>
      </c>
      <c r="E2855" s="3">
        <v>674461</v>
      </c>
      <c r="Q2855" s="1" t="s">
        <v>191</v>
      </c>
      <c r="S2855" s="1" t="s">
        <v>191</v>
      </c>
      <c r="T2855" s="1" t="s">
        <v>203</v>
      </c>
      <c r="AA2855" s="1">
        <v>674461</v>
      </c>
      <c r="AB2855" s="1" t="s">
        <v>2242</v>
      </c>
      <c r="AC2855" s="5">
        <v>41851</v>
      </c>
      <c r="AF2855" s="1">
        <v>10019</v>
      </c>
      <c r="AJ2855" s="1">
        <v>2014</v>
      </c>
      <c r="AL2855" s="1">
        <v>95</v>
      </c>
    </row>
    <row r="2856" spans="1:38" x14ac:dyDescent="0.2">
      <c r="A2856" s="2" t="str">
        <f>HYPERLINK("https://www.compass.com/listing/535-west-52nd-street-unit-6c-manhattan-ny-10019/29390068082821713/","535 W 52nd St, Unit 6C")</f>
        <v>535 W 52nd St, Unit 6C</v>
      </c>
      <c r="B2856" s="2" t="str">
        <f t="shared" si="445"/>
        <v>535 W 52nd St</v>
      </c>
      <c r="C2856" s="1" t="s">
        <v>57</v>
      </c>
      <c r="D2856" s="1" t="s">
        <v>41</v>
      </c>
      <c r="E2856" s="3">
        <v>415929</v>
      </c>
      <c r="Q2856" s="1" t="s">
        <v>191</v>
      </c>
      <c r="S2856" s="1" t="s">
        <v>191</v>
      </c>
      <c r="T2856" s="1" t="s">
        <v>203</v>
      </c>
      <c r="AA2856" s="1">
        <v>415929</v>
      </c>
      <c r="AB2856" s="1" t="s">
        <v>2243</v>
      </c>
      <c r="AC2856" s="5">
        <v>41859</v>
      </c>
      <c r="AF2856" s="1">
        <v>10019</v>
      </c>
      <c r="AJ2856" s="1">
        <v>2014</v>
      </c>
      <c r="AL2856" s="1">
        <v>95</v>
      </c>
    </row>
    <row r="2857" spans="1:38" x14ac:dyDescent="0.2">
      <c r="A2857" s="2" t="str">
        <f>HYPERLINK("https://www.compass.com/listing/535-west-52nd-street-unit-6e-manhattan-ny-10019/29390068376486209/","535 W 52nd St, Unit 6E")</f>
        <v>535 W 52nd St, Unit 6E</v>
      </c>
      <c r="B2857" s="2" t="str">
        <f t="shared" si="445"/>
        <v>535 W 52nd St</v>
      </c>
      <c r="C2857" s="1" t="s">
        <v>57</v>
      </c>
      <c r="D2857" s="1" t="s">
        <v>41</v>
      </c>
      <c r="E2857" s="3">
        <v>389965</v>
      </c>
      <c r="Q2857" s="1" t="s">
        <v>191</v>
      </c>
      <c r="S2857" s="1" t="s">
        <v>191</v>
      </c>
      <c r="T2857" s="1" t="s">
        <v>203</v>
      </c>
      <c r="AA2857" s="1">
        <v>389965</v>
      </c>
      <c r="AB2857" s="1" t="s">
        <v>2244</v>
      </c>
      <c r="AC2857" s="5">
        <v>41922</v>
      </c>
      <c r="AF2857" s="1">
        <v>10019</v>
      </c>
      <c r="AJ2857" s="1">
        <v>2014</v>
      </c>
      <c r="AL2857" s="1">
        <v>95</v>
      </c>
    </row>
    <row r="2858" spans="1:38" x14ac:dyDescent="0.2">
      <c r="A2858" s="2" t="str">
        <f>HYPERLINK("https://www.compass.com/listing/535-west-52nd-street-unit-2d-manhattan-ny-10019/29390068636455201/","535 W 52nd St, Unit 2D")</f>
        <v>535 W 52nd St, Unit 2D</v>
      </c>
      <c r="B2858" s="2" t="str">
        <f t="shared" si="445"/>
        <v>535 W 52nd St</v>
      </c>
      <c r="C2858" s="1" t="s">
        <v>57</v>
      </c>
      <c r="D2858" s="1" t="s">
        <v>41</v>
      </c>
      <c r="E2858" s="3">
        <v>378054</v>
      </c>
      <c r="Q2858" s="1" t="s">
        <v>191</v>
      </c>
      <c r="S2858" s="1" t="s">
        <v>191</v>
      </c>
      <c r="T2858" s="1" t="s">
        <v>203</v>
      </c>
      <c r="AA2858" s="1">
        <v>378054</v>
      </c>
      <c r="AB2858" s="1" t="s">
        <v>2245</v>
      </c>
      <c r="AC2858" s="5">
        <v>41808</v>
      </c>
      <c r="AF2858" s="1">
        <v>10019</v>
      </c>
      <c r="AJ2858" s="1">
        <v>2014</v>
      </c>
      <c r="AL2858" s="1">
        <v>95</v>
      </c>
    </row>
    <row r="2859" spans="1:38" x14ac:dyDescent="0.2">
      <c r="A2859" s="2" t="str">
        <f>HYPERLINK("https://www.compass.com/listing/535-west-52nd-street-unit-3e-manhattan-ny-10019/29390068896516705/","535 W 52nd St, Unit 3E")</f>
        <v>535 W 52nd St, Unit 3E</v>
      </c>
      <c r="B2859" s="2" t="str">
        <f t="shared" si="445"/>
        <v>535 W 52nd St</v>
      </c>
      <c r="C2859" s="1" t="s">
        <v>57</v>
      </c>
      <c r="D2859" s="1" t="s">
        <v>41</v>
      </c>
      <c r="E2859" s="3">
        <v>384945</v>
      </c>
      <c r="Q2859" s="1" t="s">
        <v>191</v>
      </c>
      <c r="S2859" s="1" t="s">
        <v>191</v>
      </c>
      <c r="T2859" s="1" t="s">
        <v>203</v>
      </c>
      <c r="AA2859" s="1">
        <v>384945</v>
      </c>
      <c r="AB2859" s="1" t="s">
        <v>2246</v>
      </c>
      <c r="AC2859" s="5">
        <v>41782</v>
      </c>
      <c r="AF2859" s="1">
        <v>10019</v>
      </c>
      <c r="AJ2859" s="1">
        <v>2014</v>
      </c>
      <c r="AL2859" s="1">
        <v>95</v>
      </c>
    </row>
    <row r="2860" spans="1:38" x14ac:dyDescent="0.2">
      <c r="A2860" s="2" t="str">
        <f>HYPERLINK("https://www.compass.com/listing/535-west-52nd-street-unit-4b-manhattan-ny-10019/29390069223735633/","535 W 52nd St, Unit 4B")</f>
        <v>535 W 52nd St, Unit 4B</v>
      </c>
      <c r="B2860" s="2" t="str">
        <f t="shared" si="445"/>
        <v>535 W 52nd St</v>
      </c>
      <c r="C2860" s="1" t="s">
        <v>57</v>
      </c>
      <c r="D2860" s="1" t="s">
        <v>41</v>
      </c>
      <c r="E2860" s="3">
        <v>423805</v>
      </c>
      <c r="Q2860" s="1" t="s">
        <v>191</v>
      </c>
      <c r="S2860" s="1" t="s">
        <v>191</v>
      </c>
      <c r="T2860" s="1" t="s">
        <v>203</v>
      </c>
      <c r="AA2860" s="1">
        <v>423805</v>
      </c>
      <c r="AB2860" s="1" t="s">
        <v>2247</v>
      </c>
      <c r="AC2860" s="5">
        <v>41849</v>
      </c>
      <c r="AF2860" s="1">
        <v>10019</v>
      </c>
      <c r="AJ2860" s="1">
        <v>2014</v>
      </c>
      <c r="AL2860" s="1">
        <v>95</v>
      </c>
    </row>
    <row r="2861" spans="1:38" x14ac:dyDescent="0.2">
      <c r="A2861" s="2" t="str">
        <f>HYPERLINK("https://www.compass.com/listing/535-west-52nd-street-unit-4f-manhattan-ny-10019/29390069483704625/","535 W 52nd St, Unit 4F")</f>
        <v>535 W 52nd St, Unit 4F</v>
      </c>
      <c r="B2861" s="2" t="str">
        <f t="shared" si="445"/>
        <v>535 W 52nd St</v>
      </c>
      <c r="C2861" s="1" t="s">
        <v>57</v>
      </c>
      <c r="D2861" s="1" t="s">
        <v>41</v>
      </c>
      <c r="E2861" s="3">
        <v>508881</v>
      </c>
      <c r="Q2861" s="1" t="s">
        <v>191</v>
      </c>
      <c r="S2861" s="1" t="s">
        <v>191</v>
      </c>
      <c r="T2861" s="1" t="s">
        <v>203</v>
      </c>
      <c r="AA2861" s="1">
        <v>508881</v>
      </c>
      <c r="AB2861" s="1" t="s">
        <v>2248</v>
      </c>
      <c r="AC2861" s="5">
        <v>41864</v>
      </c>
      <c r="AF2861" s="1">
        <v>10019</v>
      </c>
      <c r="AJ2861" s="1">
        <v>2014</v>
      </c>
      <c r="AL2861" s="1">
        <v>95</v>
      </c>
    </row>
    <row r="2862" spans="1:38" x14ac:dyDescent="0.2">
      <c r="A2862" s="2" t="str">
        <f>HYPERLINK("https://www.compass.com/listing/535-west-52nd-street-unit-5c-manhattan-ny-10019/29390069768931953/","535 W 52nd St, Unit 5C")</f>
        <v>535 W 52nd St, Unit 5C</v>
      </c>
      <c r="B2862" s="2" t="str">
        <f t="shared" si="445"/>
        <v>535 W 52nd St</v>
      </c>
      <c r="C2862" s="1" t="s">
        <v>57</v>
      </c>
      <c r="D2862" s="1" t="s">
        <v>41</v>
      </c>
      <c r="E2862" s="3">
        <v>410909</v>
      </c>
      <c r="Q2862" s="1" t="s">
        <v>191</v>
      </c>
      <c r="S2862" s="1" t="s">
        <v>191</v>
      </c>
      <c r="T2862" s="1" t="s">
        <v>203</v>
      </c>
      <c r="AA2862" s="1">
        <v>410909</v>
      </c>
      <c r="AB2862" s="1" t="s">
        <v>2249</v>
      </c>
      <c r="AC2862" s="5">
        <v>41803</v>
      </c>
      <c r="AF2862" s="1">
        <v>10019</v>
      </c>
      <c r="AJ2862" s="1">
        <v>2014</v>
      </c>
      <c r="AL2862" s="1">
        <v>95</v>
      </c>
    </row>
    <row r="2863" spans="1:38" x14ac:dyDescent="0.2">
      <c r="A2863" s="2" t="str">
        <f>HYPERLINK("https://www.compass.com/listing/535-west-52nd-street-unit-2e-manhattan-ny-10019/29390070070985057/","535 W 52nd St, Unit 2E")</f>
        <v>535 W 52nd St, Unit 2E</v>
      </c>
      <c r="B2863" s="2" t="str">
        <f t="shared" si="445"/>
        <v>535 W 52nd St</v>
      </c>
      <c r="C2863" s="1" t="s">
        <v>57</v>
      </c>
      <c r="D2863" s="1" t="s">
        <v>41</v>
      </c>
      <c r="E2863" s="3">
        <v>374905</v>
      </c>
      <c r="Q2863" s="1" t="s">
        <v>191</v>
      </c>
      <c r="S2863" s="1" t="s">
        <v>191</v>
      </c>
      <c r="T2863" s="1" t="s">
        <v>203</v>
      </c>
      <c r="AA2863" s="1">
        <v>374905</v>
      </c>
      <c r="AB2863" s="1" t="s">
        <v>2250</v>
      </c>
      <c r="AC2863" s="5">
        <v>41822</v>
      </c>
      <c r="AF2863" s="1">
        <v>10019</v>
      </c>
      <c r="AJ2863" s="1">
        <v>2014</v>
      </c>
      <c r="AL2863" s="1">
        <v>95</v>
      </c>
    </row>
    <row r="2864" spans="1:38" x14ac:dyDescent="0.2">
      <c r="A2864" s="2" t="str">
        <f>HYPERLINK("https://www.compass.com/listing/535-west-52nd-street-unit-3b-manhattan-ny-10019/29390070347731265/","535 W 52nd St, Unit 3B")</f>
        <v>535 W 52nd St, Unit 3B</v>
      </c>
      <c r="B2864" s="2" t="str">
        <f t="shared" si="445"/>
        <v>535 W 52nd St</v>
      </c>
      <c r="C2864" s="1" t="s">
        <v>57</v>
      </c>
      <c r="D2864" s="1" t="s">
        <v>41</v>
      </c>
      <c r="E2864" s="3">
        <v>388665</v>
      </c>
      <c r="Q2864" s="1" t="s">
        <v>191</v>
      </c>
      <c r="S2864" s="1" t="s">
        <v>191</v>
      </c>
      <c r="T2864" s="1" t="s">
        <v>203</v>
      </c>
      <c r="AA2864" s="1">
        <v>388665</v>
      </c>
      <c r="AB2864" s="1" t="s">
        <v>2251</v>
      </c>
      <c r="AC2864" s="5">
        <v>41843</v>
      </c>
      <c r="AF2864" s="1">
        <v>10019</v>
      </c>
      <c r="AJ2864" s="1">
        <v>2014</v>
      </c>
      <c r="AL2864" s="1">
        <v>95</v>
      </c>
    </row>
    <row r="2865" spans="1:38" x14ac:dyDescent="0.2">
      <c r="A2865" s="2" t="str">
        <f>HYPERLINK("https://www.compass.com/listing/535-west-52nd-street-unit-5g-manhattan-ny-10019/29390070641347201/","535 W 52nd St, Unit 5G")</f>
        <v>535 W 52nd St, Unit 5G</v>
      </c>
      <c r="B2865" s="2" t="str">
        <f t="shared" si="445"/>
        <v>535 W 52nd St</v>
      </c>
      <c r="C2865" s="1" t="s">
        <v>57</v>
      </c>
      <c r="D2865" s="1" t="s">
        <v>41</v>
      </c>
      <c r="E2865" s="3">
        <v>541522</v>
      </c>
      <c r="Q2865" s="1" t="s">
        <v>191</v>
      </c>
      <c r="S2865" s="1" t="s">
        <v>191</v>
      </c>
      <c r="T2865" s="1" t="s">
        <v>203</v>
      </c>
      <c r="AA2865" s="1">
        <v>541522</v>
      </c>
      <c r="AB2865" s="1" t="s">
        <v>2252</v>
      </c>
      <c r="AC2865" s="5">
        <v>41848</v>
      </c>
      <c r="AF2865" s="1">
        <v>10019</v>
      </c>
      <c r="AJ2865" s="1">
        <v>2014</v>
      </c>
      <c r="AL2865" s="1">
        <v>95</v>
      </c>
    </row>
    <row r="2866" spans="1:38" x14ac:dyDescent="0.2">
      <c r="A2866" s="2" t="str">
        <f>HYPERLINK("https://www.compass.com/listing/535-west-52nd-street-unit-2a-manhattan-ny-10019/29390070968566129/","535 W 52nd St, Unit 2A")</f>
        <v>535 W 52nd St, Unit 2A</v>
      </c>
      <c r="B2866" s="2" t="str">
        <f t="shared" si="445"/>
        <v>535 W 52nd St</v>
      </c>
      <c r="C2866" s="1" t="s">
        <v>57</v>
      </c>
      <c r="D2866" s="1" t="s">
        <v>41</v>
      </c>
      <c r="E2866" s="3">
        <v>536907</v>
      </c>
      <c r="Q2866" s="1" t="s">
        <v>191</v>
      </c>
      <c r="S2866" s="1" t="s">
        <v>191</v>
      </c>
      <c r="T2866" s="1" t="s">
        <v>203</v>
      </c>
      <c r="AA2866" s="1">
        <v>536907</v>
      </c>
      <c r="AB2866" s="1" t="s">
        <v>2253</v>
      </c>
      <c r="AC2866" s="5">
        <v>41871</v>
      </c>
      <c r="AF2866" s="1">
        <v>10019</v>
      </c>
      <c r="AJ2866" s="1">
        <v>2014</v>
      </c>
      <c r="AL2866" s="1">
        <v>95</v>
      </c>
    </row>
    <row r="2867" spans="1:38" x14ac:dyDescent="0.2">
      <c r="A2867" s="2" t="str">
        <f>HYPERLINK("https://www.compass.com/listing/535-west-52nd-street-unit-6h-manhattan-ny-10019/29390071228535121/","535 W 52nd St, Unit 6H")</f>
        <v>535 W 52nd St, Unit 6H</v>
      </c>
      <c r="B2867" s="2" t="str">
        <f t="shared" si="445"/>
        <v>535 W 52nd St</v>
      </c>
      <c r="C2867" s="1" t="s">
        <v>57</v>
      </c>
      <c r="D2867" s="1" t="s">
        <v>41</v>
      </c>
      <c r="E2867" s="3">
        <v>459775</v>
      </c>
      <c r="Q2867" s="1" t="s">
        <v>191</v>
      </c>
      <c r="S2867" s="1" t="s">
        <v>191</v>
      </c>
      <c r="T2867" s="1" t="s">
        <v>203</v>
      </c>
      <c r="AA2867" s="1">
        <v>459775</v>
      </c>
      <c r="AB2867" s="1" t="s">
        <v>2254</v>
      </c>
      <c r="AC2867" s="5">
        <v>41830</v>
      </c>
      <c r="AF2867" s="1">
        <v>10019</v>
      </c>
      <c r="AJ2867" s="1">
        <v>2014</v>
      </c>
      <c r="AL2867" s="1">
        <v>95</v>
      </c>
    </row>
    <row r="2868" spans="1:38" x14ac:dyDescent="0.2">
      <c r="A2868" s="2" t="str">
        <f>HYPERLINK("https://www.compass.com/listing/535-west-52nd-street-unit-6d-manhattan-ny-10019/29390071522151057/","535 W 52nd St, Unit 6D")</f>
        <v>535 W 52nd St, Unit 6D</v>
      </c>
      <c r="B2868" s="2" t="str">
        <f t="shared" si="445"/>
        <v>535 W 52nd St</v>
      </c>
      <c r="C2868" s="1" t="s">
        <v>57</v>
      </c>
      <c r="D2868" s="1" t="s">
        <v>41</v>
      </c>
      <c r="E2868" s="3">
        <v>428350</v>
      </c>
      <c r="Q2868" s="1" t="s">
        <v>191</v>
      </c>
      <c r="S2868" s="1" t="s">
        <v>191</v>
      </c>
      <c r="T2868" s="1" t="s">
        <v>203</v>
      </c>
      <c r="AA2868" s="1">
        <v>428350</v>
      </c>
      <c r="AB2868" s="1" t="s">
        <v>2255</v>
      </c>
      <c r="AC2868" s="5">
        <v>41978</v>
      </c>
      <c r="AF2868" s="1">
        <v>10019</v>
      </c>
      <c r="AJ2868" s="1">
        <v>2014</v>
      </c>
      <c r="AL2868" s="1">
        <v>95</v>
      </c>
    </row>
    <row r="2869" spans="1:38" x14ac:dyDescent="0.2">
      <c r="A2869" s="2" t="str">
        <f>HYPERLINK("https://www.compass.com/listing/535-west-52nd-street-unit-8i-manhattan-ny-10019/29390071849369985/","535 W 52nd St, Unit 8I")</f>
        <v>535 W 52nd St, Unit 8I</v>
      </c>
      <c r="B2869" s="2" t="str">
        <f t="shared" si="445"/>
        <v>535 W 52nd St</v>
      </c>
      <c r="C2869" s="1" t="s">
        <v>57</v>
      </c>
      <c r="D2869" s="1" t="s">
        <v>41</v>
      </c>
      <c r="E2869" s="3">
        <v>507608</v>
      </c>
      <c r="Q2869" s="1" t="s">
        <v>191</v>
      </c>
      <c r="S2869" s="1" t="s">
        <v>191</v>
      </c>
      <c r="T2869" s="1" t="s">
        <v>203</v>
      </c>
      <c r="AA2869" s="1">
        <v>507608</v>
      </c>
      <c r="AB2869" s="1" t="s">
        <v>2256</v>
      </c>
      <c r="AC2869" s="5">
        <v>41933</v>
      </c>
      <c r="AF2869" s="1">
        <v>10019</v>
      </c>
      <c r="AJ2869" s="1">
        <v>2014</v>
      </c>
      <c r="AL2869" s="1">
        <v>95</v>
      </c>
    </row>
    <row r="2870" spans="1:38" x14ac:dyDescent="0.2">
      <c r="A2870" s="2" t="str">
        <f>HYPERLINK("https://www.compass.com/listing/535-west-52nd-street-unit-7h-manhattan-ny-10019/29390072109338977/","535 W 52nd St, Unit 7H")</f>
        <v>535 W 52nd St, Unit 7H</v>
      </c>
      <c r="B2870" s="2" t="str">
        <f t="shared" si="445"/>
        <v>535 W 52nd St</v>
      </c>
      <c r="C2870" s="1" t="s">
        <v>57</v>
      </c>
      <c r="D2870" s="1" t="s">
        <v>41</v>
      </c>
      <c r="E2870" s="3">
        <v>459776</v>
      </c>
      <c r="Q2870" s="1" t="s">
        <v>191</v>
      </c>
      <c r="S2870" s="1" t="s">
        <v>191</v>
      </c>
      <c r="T2870" s="1" t="s">
        <v>203</v>
      </c>
      <c r="AA2870" s="1">
        <v>459776</v>
      </c>
      <c r="AB2870" s="1" t="s">
        <v>2257</v>
      </c>
      <c r="AC2870" s="5">
        <v>41781</v>
      </c>
      <c r="AF2870" s="1">
        <v>10019</v>
      </c>
      <c r="AJ2870" s="1">
        <v>2014</v>
      </c>
      <c r="AL2870" s="1">
        <v>95</v>
      </c>
    </row>
    <row r="2871" spans="1:38" x14ac:dyDescent="0.2">
      <c r="A2871" s="2" t="str">
        <f>HYPERLINK("https://www.compass.com/listing/535-west-52nd-street-unit-6g-manhattan-ny-10019/29390072369400481/","535 W 52nd St, Unit 6G")</f>
        <v>535 W 52nd St, Unit 6G</v>
      </c>
      <c r="B2871" s="2" t="str">
        <f t="shared" si="445"/>
        <v>535 W 52nd St</v>
      </c>
      <c r="C2871" s="1" t="s">
        <v>57</v>
      </c>
      <c r="D2871" s="1" t="s">
        <v>41</v>
      </c>
      <c r="E2871" s="3">
        <v>599252</v>
      </c>
      <c r="Q2871" s="1" t="s">
        <v>191</v>
      </c>
      <c r="S2871" s="1" t="s">
        <v>191</v>
      </c>
      <c r="T2871" s="1" t="s">
        <v>203</v>
      </c>
      <c r="AA2871" s="1">
        <v>599252</v>
      </c>
      <c r="AB2871" s="1" t="s">
        <v>2258</v>
      </c>
      <c r="AC2871" s="5">
        <v>41855</v>
      </c>
      <c r="AF2871" s="1">
        <v>10019</v>
      </c>
      <c r="AJ2871" s="1">
        <v>2014</v>
      </c>
      <c r="AL2871" s="1">
        <v>95</v>
      </c>
    </row>
    <row r="2872" spans="1:38" x14ac:dyDescent="0.2">
      <c r="A2872" s="2" t="str">
        <f>HYPERLINK("https://www.compass.com/listing/535-west-52nd-street-unit-5f-manhattan-ny-10019/29390072679842193/","535 W 52nd St, Unit 5F")</f>
        <v>535 W 52nd St, Unit 5F</v>
      </c>
      <c r="B2872" s="2" t="str">
        <f t="shared" si="445"/>
        <v>535 W 52nd St</v>
      </c>
      <c r="C2872" s="1" t="s">
        <v>57</v>
      </c>
      <c r="D2872" s="1" t="s">
        <v>41</v>
      </c>
      <c r="E2872" s="3">
        <v>561591</v>
      </c>
      <c r="Q2872" s="1" t="s">
        <v>191</v>
      </c>
      <c r="S2872" s="1" t="s">
        <v>191</v>
      </c>
      <c r="T2872" s="1" t="s">
        <v>203</v>
      </c>
      <c r="AA2872" s="1">
        <v>561591</v>
      </c>
      <c r="AB2872" s="1" t="s">
        <v>2259</v>
      </c>
      <c r="AC2872" s="5">
        <v>41817</v>
      </c>
      <c r="AF2872" s="1">
        <v>10019</v>
      </c>
      <c r="AJ2872" s="1">
        <v>2014</v>
      </c>
      <c r="AL2872" s="1">
        <v>95</v>
      </c>
    </row>
    <row r="2873" spans="1:38" x14ac:dyDescent="0.2">
      <c r="A2873" s="2" t="str">
        <f>HYPERLINK("https://www.compass.com/listing/535-west-52nd-street-unit-7g-manhattan-ny-10019/29390072956588401/","535 W 52nd St, Unit 7G")</f>
        <v>535 W 52nd St, Unit 7G</v>
      </c>
      <c r="B2873" s="2" t="str">
        <f t="shared" si="445"/>
        <v>535 W 52nd St</v>
      </c>
      <c r="C2873" s="1" t="s">
        <v>57</v>
      </c>
      <c r="D2873" s="1" t="s">
        <v>41</v>
      </c>
      <c r="E2873" s="3">
        <v>611796</v>
      </c>
      <c r="Q2873" s="1" t="s">
        <v>191</v>
      </c>
      <c r="S2873" s="1" t="s">
        <v>191</v>
      </c>
      <c r="T2873" s="1" t="s">
        <v>203</v>
      </c>
      <c r="AA2873" s="1">
        <v>611796</v>
      </c>
      <c r="AB2873" s="1" t="s">
        <v>2260</v>
      </c>
      <c r="AC2873" s="5">
        <v>41843</v>
      </c>
      <c r="AF2873" s="1">
        <v>10019</v>
      </c>
      <c r="AJ2873" s="1">
        <v>2014</v>
      </c>
      <c r="AL2873" s="1">
        <v>95</v>
      </c>
    </row>
    <row r="2874" spans="1:38" x14ac:dyDescent="0.2">
      <c r="A2874" s="2" t="str">
        <f>HYPERLINK("https://www.compass.com/listing/535-west-52nd-street-unit-8h-manhattan-ny-10019/29390073241815729/","535 W 52nd St, Unit 8H")</f>
        <v>535 W 52nd St, Unit 8H</v>
      </c>
      <c r="B2874" s="2" t="str">
        <f t="shared" si="445"/>
        <v>535 W 52nd St</v>
      </c>
      <c r="C2874" s="1" t="s">
        <v>57</v>
      </c>
      <c r="D2874" s="1" t="s">
        <v>41</v>
      </c>
      <c r="E2874" s="3">
        <v>469816</v>
      </c>
      <c r="Q2874" s="1" t="s">
        <v>191</v>
      </c>
      <c r="S2874" s="1" t="s">
        <v>191</v>
      </c>
      <c r="T2874" s="1" t="s">
        <v>203</v>
      </c>
      <c r="AA2874" s="1">
        <v>469816</v>
      </c>
      <c r="AB2874" s="1" t="s">
        <v>2261</v>
      </c>
      <c r="AC2874" s="5">
        <v>41794</v>
      </c>
      <c r="AF2874" s="1">
        <v>10019</v>
      </c>
      <c r="AJ2874" s="1">
        <v>2014</v>
      </c>
      <c r="AL2874" s="1">
        <v>95</v>
      </c>
    </row>
    <row r="2875" spans="1:38" x14ac:dyDescent="0.2">
      <c r="A2875" s="2" t="str">
        <f>HYPERLINK("https://www.compass.com/listing/535-west-52nd-street-unit-8g-manhattan-ny-10019/29390073585811873/","535 W 52nd St, Unit 8G")</f>
        <v>535 W 52nd St, Unit 8G</v>
      </c>
      <c r="B2875" s="2" t="str">
        <f t="shared" si="445"/>
        <v>535 W 52nd St</v>
      </c>
      <c r="C2875" s="1" t="s">
        <v>57</v>
      </c>
      <c r="D2875" s="1" t="s">
        <v>41</v>
      </c>
      <c r="E2875" s="3">
        <v>551562</v>
      </c>
      <c r="Q2875" s="1" t="s">
        <v>191</v>
      </c>
      <c r="S2875" s="1" t="s">
        <v>191</v>
      </c>
      <c r="T2875" s="1" t="s">
        <v>203</v>
      </c>
      <c r="AA2875" s="1">
        <v>551562</v>
      </c>
      <c r="AB2875" s="1" t="s">
        <v>2262</v>
      </c>
      <c r="AC2875" s="5">
        <v>41843</v>
      </c>
      <c r="AF2875" s="1">
        <v>10019</v>
      </c>
      <c r="AJ2875" s="1">
        <v>2014</v>
      </c>
      <c r="AL2875" s="1">
        <v>95</v>
      </c>
    </row>
    <row r="2876" spans="1:38" x14ac:dyDescent="0.2">
      <c r="A2876" s="2" t="str">
        <f>HYPERLINK("https://www.compass.com/listing/535-west-52nd-street-unit-9i-manhattan-ny-10019/29390073862558081/","535 W 52nd St, Unit 9I")</f>
        <v>535 W 52nd St, Unit 9I</v>
      </c>
      <c r="B2876" s="2" t="str">
        <f t="shared" si="445"/>
        <v>535 W 52nd St</v>
      </c>
      <c r="C2876" s="1" t="s">
        <v>57</v>
      </c>
      <c r="D2876" s="1" t="s">
        <v>41</v>
      </c>
      <c r="E2876" s="3">
        <v>525172</v>
      </c>
      <c r="Q2876" s="1" t="s">
        <v>191</v>
      </c>
      <c r="S2876" s="1" t="s">
        <v>191</v>
      </c>
      <c r="T2876" s="1" t="s">
        <v>203</v>
      </c>
      <c r="AA2876" s="1">
        <v>525172</v>
      </c>
      <c r="AB2876" s="1" t="s">
        <v>2263</v>
      </c>
      <c r="AC2876" s="5">
        <v>41858</v>
      </c>
      <c r="AF2876" s="1">
        <v>10019</v>
      </c>
      <c r="AJ2876" s="1">
        <v>2014</v>
      </c>
      <c r="AL2876" s="1">
        <v>95</v>
      </c>
    </row>
    <row r="2877" spans="1:38" x14ac:dyDescent="0.2">
      <c r="A2877" s="2" t="str">
        <f>HYPERLINK("https://www.compass.com/listing/535-west-52nd-street-unit-11g-manhattan-ny-10019/29390074147785409/","535 W 52nd St, Unit 11G")</f>
        <v>535 W 52nd St, Unit 11G</v>
      </c>
      <c r="B2877" s="2" t="str">
        <f t="shared" si="445"/>
        <v>535 W 52nd St</v>
      </c>
      <c r="C2877" s="1" t="s">
        <v>57</v>
      </c>
      <c r="D2877" s="1" t="s">
        <v>41</v>
      </c>
      <c r="E2877" s="3">
        <v>638133</v>
      </c>
      <c r="Q2877" s="1" t="s">
        <v>191</v>
      </c>
      <c r="S2877" s="1" t="s">
        <v>191</v>
      </c>
      <c r="T2877" s="1" t="s">
        <v>203</v>
      </c>
      <c r="AA2877" s="1">
        <v>638133</v>
      </c>
      <c r="AB2877" s="1" t="s">
        <v>2264</v>
      </c>
      <c r="AC2877" s="5">
        <v>41866</v>
      </c>
      <c r="AF2877" s="1">
        <v>10019</v>
      </c>
      <c r="AJ2877" s="1">
        <v>2014</v>
      </c>
      <c r="AL2877" s="1">
        <v>95</v>
      </c>
    </row>
    <row r="2878" spans="1:38" x14ac:dyDescent="0.2">
      <c r="A2878" s="2" t="str">
        <f>HYPERLINK("https://www.compass.com/listing/535-west-52nd-street-unit-4e-manhattan-ny-10019/29390074466615729/","535 W 52nd St, Unit 4E")</f>
        <v>535 W 52nd St, Unit 4E</v>
      </c>
      <c r="B2878" s="2" t="str">
        <f t="shared" si="445"/>
        <v>535 W 52nd St</v>
      </c>
      <c r="C2878" s="1" t="s">
        <v>57</v>
      </c>
      <c r="D2878" s="1" t="s">
        <v>41</v>
      </c>
      <c r="E2878" s="3">
        <v>394985</v>
      </c>
      <c r="F2878" s="1">
        <v>626.96031746031701</v>
      </c>
      <c r="H2878" s="1">
        <v>1</v>
      </c>
      <c r="J2878" s="1">
        <v>1</v>
      </c>
      <c r="K2878" s="1">
        <v>1</v>
      </c>
      <c r="M2878" s="1">
        <v>630</v>
      </c>
      <c r="N2878" s="1">
        <v>565</v>
      </c>
      <c r="O2878" s="1">
        <v>565</v>
      </c>
      <c r="Q2878" s="1" t="s">
        <v>191</v>
      </c>
      <c r="S2878" s="1" t="s">
        <v>191</v>
      </c>
      <c r="T2878" s="1" t="s">
        <v>203</v>
      </c>
      <c r="AA2878" s="1">
        <v>394985</v>
      </c>
      <c r="AB2878" s="1" t="s">
        <v>2265</v>
      </c>
      <c r="AC2878" s="5">
        <v>41978</v>
      </c>
      <c r="AF2878" s="1">
        <v>10019</v>
      </c>
      <c r="AJ2878" s="1">
        <v>2014</v>
      </c>
      <c r="AL2878" s="1">
        <v>95</v>
      </c>
    </row>
    <row r="2879" spans="1:38" x14ac:dyDescent="0.2">
      <c r="A2879" s="2" t="str">
        <f>HYPERLINK("https://www.compass.com/listing/535-west-52nd-street-unit-2c-manhattan-ny-10019/29390074743361937/","535 W 52nd St, Unit 2C")</f>
        <v>535 W 52nd St, Unit 2C</v>
      </c>
      <c r="B2879" s="2" t="str">
        <f t="shared" si="445"/>
        <v>535 W 52nd St</v>
      </c>
      <c r="C2879" s="1" t="s">
        <v>57</v>
      </c>
      <c r="D2879" s="1" t="s">
        <v>41</v>
      </c>
      <c r="E2879" s="3">
        <v>395849</v>
      </c>
      <c r="Q2879" s="1" t="s">
        <v>191</v>
      </c>
      <c r="S2879" s="1" t="s">
        <v>191</v>
      </c>
      <c r="T2879" s="1" t="s">
        <v>203</v>
      </c>
      <c r="AA2879" s="1">
        <v>395849</v>
      </c>
      <c r="AB2879" s="1" t="s">
        <v>2266</v>
      </c>
      <c r="AC2879" s="5">
        <v>41788</v>
      </c>
      <c r="AF2879" s="1">
        <v>10019</v>
      </c>
      <c r="AJ2879" s="1">
        <v>2014</v>
      </c>
      <c r="AL2879" s="1">
        <v>95</v>
      </c>
    </row>
    <row r="2880" spans="1:38" x14ac:dyDescent="0.2">
      <c r="A2880" s="2" t="str">
        <f>HYPERLINK("https://www.compass.com/listing/535-west-52nd-street-unit-5e-manhattan-ny-10019/29390075028589265/","535 W 52nd St, Unit 5E")</f>
        <v>535 W 52nd St, Unit 5E</v>
      </c>
      <c r="B2880" s="2" t="str">
        <f t="shared" si="445"/>
        <v>535 W 52nd St</v>
      </c>
      <c r="C2880" s="1" t="s">
        <v>57</v>
      </c>
      <c r="D2880" s="1" t="s">
        <v>41</v>
      </c>
      <c r="E2880" s="3">
        <v>404025</v>
      </c>
      <c r="Q2880" s="1" t="s">
        <v>191</v>
      </c>
      <c r="S2880" s="1" t="s">
        <v>191</v>
      </c>
      <c r="T2880" s="1" t="s">
        <v>203</v>
      </c>
      <c r="AA2880" s="1">
        <v>404025</v>
      </c>
      <c r="AB2880" s="1" t="s">
        <v>2267</v>
      </c>
      <c r="AC2880" s="5">
        <v>41842</v>
      </c>
      <c r="AF2880" s="1">
        <v>10019</v>
      </c>
      <c r="AJ2880" s="1">
        <v>2014</v>
      </c>
      <c r="AL2880" s="1">
        <v>95</v>
      </c>
    </row>
    <row r="2881" spans="1:38" x14ac:dyDescent="0.2">
      <c r="A2881" s="2" t="str">
        <f>HYPERLINK("https://www.compass.com/listing/535-west-52nd-street-unit-6f-manhattan-ny-10019/29390075339030977/","535 W 52nd St, Unit 6F")</f>
        <v>535 W 52nd St, Unit 6F</v>
      </c>
      <c r="B2881" s="2" t="str">
        <f t="shared" si="445"/>
        <v>535 W 52nd St</v>
      </c>
      <c r="C2881" s="1" t="s">
        <v>57</v>
      </c>
      <c r="D2881" s="1" t="s">
        <v>41</v>
      </c>
      <c r="E2881" s="3">
        <v>571631</v>
      </c>
      <c r="Q2881" s="1" t="s">
        <v>191</v>
      </c>
      <c r="S2881" s="1" t="s">
        <v>191</v>
      </c>
      <c r="T2881" s="1" t="s">
        <v>203</v>
      </c>
      <c r="AA2881" s="1">
        <v>571631</v>
      </c>
      <c r="AB2881" s="1" t="s">
        <v>2268</v>
      </c>
      <c r="AC2881" s="5">
        <v>41822</v>
      </c>
      <c r="AF2881" s="1">
        <v>10019</v>
      </c>
      <c r="AJ2881" s="1">
        <v>2014</v>
      </c>
      <c r="AL2881" s="1">
        <v>95</v>
      </c>
    </row>
    <row r="2882" spans="1:38" x14ac:dyDescent="0.2">
      <c r="A2882" s="2" t="str">
        <f>HYPERLINK("https://www.compass.com/listing/101-west-78th-street-unit-7e-manhattan-ny-10024/29394207030508593/","101 W 78th St, Unit 7E")</f>
        <v>101 W 78th St, Unit 7E</v>
      </c>
      <c r="B2882" s="2" t="str">
        <f>HYPERLINK("https://www.compass.com/building/101-w-78th-st-manhattan-ny-10024/281961405798754085/","101 W 78th St")</f>
        <v>101 W 78th St</v>
      </c>
      <c r="C2882" s="1" t="s">
        <v>47</v>
      </c>
      <c r="D2882" s="1" t="s">
        <v>41</v>
      </c>
      <c r="E2882" s="3">
        <v>1229000</v>
      </c>
      <c r="F2882" s="1">
        <v>1030.1760268231301</v>
      </c>
      <c r="G2882" s="1">
        <v>4</v>
      </c>
      <c r="H2882" s="1">
        <v>2</v>
      </c>
      <c r="I2882" s="1">
        <v>1</v>
      </c>
      <c r="J2882" s="1">
        <v>1</v>
      </c>
      <c r="M2882" s="4">
        <v>1193</v>
      </c>
      <c r="N2882" s="1">
        <v>1721</v>
      </c>
      <c r="O2882" s="1">
        <v>2832</v>
      </c>
      <c r="P2882" s="1">
        <v>1111</v>
      </c>
      <c r="Q2882" s="1" t="s">
        <v>42</v>
      </c>
      <c r="S2882" s="1" t="s">
        <v>42</v>
      </c>
      <c r="T2882" s="1" t="s">
        <v>203</v>
      </c>
      <c r="V2882" s="5">
        <v>43208</v>
      </c>
      <c r="AA2882" s="1">
        <v>1229000</v>
      </c>
      <c r="AB2882" s="1" t="s">
        <v>2269</v>
      </c>
      <c r="AC2882" s="5">
        <v>43138</v>
      </c>
      <c r="AF2882" s="1">
        <v>10024</v>
      </c>
      <c r="AJ2882" s="1">
        <v>1886</v>
      </c>
      <c r="AK2882" s="1" t="s">
        <v>428</v>
      </c>
      <c r="AL2882" s="1">
        <v>21</v>
      </c>
    </row>
    <row r="2883" spans="1:38" x14ac:dyDescent="0.2">
      <c r="A2883" s="2" t="str">
        <f>HYPERLINK("https://www.compass.com/listing/340-west-72nd-street-unit-902-manhattan-ny-10023/29397961804902273/","340 W 72nd St, Unit 902")</f>
        <v>340 W 72nd St, Unit 902</v>
      </c>
      <c r="B2883" s="2" t="str">
        <f t="shared" ref="B2883:B2902" si="446">HYPERLINK("https://www.compass.com/building/the-chatsworth-annex-manhattan-ny/281960253094963669/","The Chatsworth Annex")</f>
        <v>The Chatsworth Annex</v>
      </c>
      <c r="C2883" s="1" t="s">
        <v>47</v>
      </c>
      <c r="D2883" s="1" t="s">
        <v>41</v>
      </c>
      <c r="E2883" s="3">
        <v>8836670</v>
      </c>
      <c r="Q2883" s="1" t="s">
        <v>191</v>
      </c>
      <c r="S2883" s="1" t="s">
        <v>191</v>
      </c>
      <c r="T2883" s="1" t="s">
        <v>203</v>
      </c>
      <c r="AA2883" s="1">
        <v>8836670.2699999996</v>
      </c>
      <c r="AB2883" s="1" t="s">
        <v>2270</v>
      </c>
      <c r="AC2883" s="5">
        <v>42915</v>
      </c>
      <c r="AF2883" s="1">
        <v>10023</v>
      </c>
      <c r="AJ2883" s="1">
        <v>1920</v>
      </c>
      <c r="AL2883" s="1">
        <v>23</v>
      </c>
    </row>
    <row r="2884" spans="1:38" x14ac:dyDescent="0.2">
      <c r="A2884" s="2" t="str">
        <f>HYPERLINK("https://www.compass.com/listing/340-west-72nd-street-unit-403-manhattan-ny-10023/29397962123685745/","340 W 72nd St, Unit 403")</f>
        <v>340 W 72nd St, Unit 403</v>
      </c>
      <c r="B2884" s="2" t="str">
        <f t="shared" si="446"/>
        <v>The Chatsworth Annex</v>
      </c>
      <c r="C2884" s="1" t="s">
        <v>47</v>
      </c>
      <c r="D2884" s="1" t="s">
        <v>41</v>
      </c>
      <c r="E2884" s="3">
        <v>5108794</v>
      </c>
      <c r="Q2884" s="1" t="s">
        <v>191</v>
      </c>
      <c r="S2884" s="1" t="s">
        <v>191</v>
      </c>
      <c r="T2884" s="1" t="s">
        <v>203</v>
      </c>
      <c r="AA2884" s="1">
        <v>5108794.25</v>
      </c>
      <c r="AB2884" s="1" t="s">
        <v>2271</v>
      </c>
      <c r="AC2884" s="5">
        <v>42536</v>
      </c>
      <c r="AF2884" s="1">
        <v>10023</v>
      </c>
      <c r="AJ2884" s="1">
        <v>1920</v>
      </c>
      <c r="AL2884" s="1">
        <v>23</v>
      </c>
    </row>
    <row r="2885" spans="1:38" x14ac:dyDescent="0.2">
      <c r="A2885" s="2" t="str">
        <f>HYPERLINK("https://www.compass.com/listing/340-west-72nd-street-unit-a2a-manhattan-ny-10023/29397962467694657/","340 W 72nd St, Unit A2A")</f>
        <v>340 W 72nd St, Unit A2A</v>
      </c>
      <c r="B2885" s="2" t="str">
        <f t="shared" si="446"/>
        <v>The Chatsworth Annex</v>
      </c>
      <c r="C2885" s="1" t="s">
        <v>47</v>
      </c>
      <c r="D2885" s="1" t="s">
        <v>41</v>
      </c>
      <c r="E2885" s="3">
        <v>6646879</v>
      </c>
      <c r="Q2885" s="1" t="s">
        <v>191</v>
      </c>
      <c r="S2885" s="1" t="s">
        <v>191</v>
      </c>
      <c r="T2885" s="1" t="s">
        <v>203</v>
      </c>
      <c r="AA2885" s="1">
        <v>6646879.0700000003</v>
      </c>
      <c r="AB2885" s="1" t="s">
        <v>2272</v>
      </c>
      <c r="AC2885" s="5">
        <v>42972</v>
      </c>
      <c r="AF2885" s="1">
        <v>10023</v>
      </c>
      <c r="AJ2885" s="1">
        <v>1920</v>
      </c>
      <c r="AL2885" s="1">
        <v>23</v>
      </c>
    </row>
    <row r="2886" spans="1:38" x14ac:dyDescent="0.2">
      <c r="A2886" s="2" t="str">
        <f>HYPERLINK("https://www.compass.com/listing/340-west-72nd-street-unit-1108-manhattan-ny-10023/29397962744426385/","340 W 72nd St, Unit 1108")</f>
        <v>340 W 72nd St, Unit 1108</v>
      </c>
      <c r="B2886" s="2" t="str">
        <f t="shared" si="446"/>
        <v>The Chatsworth Annex</v>
      </c>
      <c r="C2886" s="1" t="s">
        <v>47</v>
      </c>
      <c r="D2886" s="1" t="s">
        <v>41</v>
      </c>
      <c r="E2886" s="3">
        <v>2455298</v>
      </c>
      <c r="Q2886" s="1" t="s">
        <v>191</v>
      </c>
      <c r="S2886" s="1" t="s">
        <v>191</v>
      </c>
      <c r="T2886" s="1" t="s">
        <v>203</v>
      </c>
      <c r="AA2886" s="1">
        <v>2455298.46</v>
      </c>
      <c r="AB2886" s="1" t="s">
        <v>2273</v>
      </c>
      <c r="AC2886" s="5">
        <v>42501</v>
      </c>
      <c r="AF2886" s="1">
        <v>10023</v>
      </c>
      <c r="AJ2886" s="1">
        <v>1920</v>
      </c>
      <c r="AL2886" s="1">
        <v>23</v>
      </c>
    </row>
    <row r="2887" spans="1:38" x14ac:dyDescent="0.2">
      <c r="A2887" s="2" t="str">
        <f>HYPERLINK("https://www.compass.com/listing/340-west-72nd-street-unit-1104-manhattan-ny-10023/29397963021266817/","340 W 72nd St, Unit 1104")</f>
        <v>340 W 72nd St, Unit 1104</v>
      </c>
      <c r="B2887" s="2" t="str">
        <f t="shared" si="446"/>
        <v>The Chatsworth Annex</v>
      </c>
      <c r="C2887" s="1" t="s">
        <v>47</v>
      </c>
      <c r="D2887" s="1" t="s">
        <v>41</v>
      </c>
      <c r="E2887" s="3">
        <v>3429885</v>
      </c>
      <c r="Q2887" s="1" t="s">
        <v>191</v>
      </c>
      <c r="S2887" s="1" t="s">
        <v>191</v>
      </c>
      <c r="T2887" s="1" t="s">
        <v>203</v>
      </c>
      <c r="AA2887" s="1">
        <v>3429885.03</v>
      </c>
      <c r="AB2887" s="1" t="s">
        <v>2274</v>
      </c>
      <c r="AC2887" s="5">
        <v>42514</v>
      </c>
      <c r="AF2887" s="1">
        <v>10023</v>
      </c>
      <c r="AJ2887" s="1">
        <v>1920</v>
      </c>
      <c r="AL2887" s="1">
        <v>23</v>
      </c>
    </row>
    <row r="2888" spans="1:38" x14ac:dyDescent="0.2">
      <c r="A2888" s="2" t="str">
        <f>HYPERLINK("https://www.compass.com/listing/340-west-72nd-street-unit-608-manhattan-ny-10023/29397963340109905/","340 W 72nd St, Unit 608")</f>
        <v>340 W 72nd St, Unit 608</v>
      </c>
      <c r="B2888" s="2" t="str">
        <f t="shared" si="446"/>
        <v>The Chatsworth Annex</v>
      </c>
      <c r="C2888" s="1" t="s">
        <v>47</v>
      </c>
      <c r="D2888" s="1" t="s">
        <v>41</v>
      </c>
      <c r="E2888" s="3">
        <v>4288009</v>
      </c>
      <c r="Q2888" s="1" t="s">
        <v>191</v>
      </c>
      <c r="S2888" s="1" t="s">
        <v>191</v>
      </c>
      <c r="T2888" s="1" t="s">
        <v>203</v>
      </c>
      <c r="AA2888" s="1">
        <v>4288008.87</v>
      </c>
      <c r="AB2888" s="1" t="s">
        <v>2275</v>
      </c>
      <c r="AC2888" s="5">
        <v>42569</v>
      </c>
      <c r="AF2888" s="1">
        <v>10023</v>
      </c>
      <c r="AJ2888" s="1">
        <v>1920</v>
      </c>
      <c r="AL2888" s="1">
        <v>23</v>
      </c>
    </row>
    <row r="2889" spans="1:38" x14ac:dyDescent="0.2">
      <c r="A2889" s="2" t="str">
        <f>HYPERLINK("https://www.compass.com/listing/340-west-72nd-street-unit-203-manhattan-ny-10023/29397963616841633/","340 W 72nd St, Unit 203")</f>
        <v>340 W 72nd St, Unit 203</v>
      </c>
      <c r="B2889" s="2" t="str">
        <f t="shared" si="446"/>
        <v>The Chatsworth Annex</v>
      </c>
      <c r="C2889" s="1" t="s">
        <v>47</v>
      </c>
      <c r="D2889" s="1" t="s">
        <v>41</v>
      </c>
      <c r="E2889" s="3">
        <v>5109439</v>
      </c>
      <c r="Q2889" s="1" t="s">
        <v>191</v>
      </c>
      <c r="S2889" s="1" t="s">
        <v>191</v>
      </c>
      <c r="T2889" s="1" t="s">
        <v>203</v>
      </c>
      <c r="AA2889" s="1">
        <v>5109438.72</v>
      </c>
      <c r="AB2889" s="1" t="s">
        <v>2276</v>
      </c>
      <c r="AC2889" s="5">
        <v>42597</v>
      </c>
      <c r="AF2889" s="1">
        <v>10023</v>
      </c>
      <c r="AJ2889" s="1">
        <v>1920</v>
      </c>
      <c r="AL2889" s="1">
        <v>23</v>
      </c>
    </row>
    <row r="2890" spans="1:38" x14ac:dyDescent="0.2">
      <c r="A2890" s="2" t="str">
        <f>HYPERLINK("https://www.compass.com/listing/340-west-72nd-street-unit-303-manhattan-ny-10023/29397963910459281/","340 W 72nd St, Unit 303")</f>
        <v>340 W 72nd St, Unit 303</v>
      </c>
      <c r="B2890" s="2" t="str">
        <f t="shared" si="446"/>
        <v>The Chatsworth Annex</v>
      </c>
      <c r="C2890" s="1" t="s">
        <v>47</v>
      </c>
      <c r="D2890" s="1" t="s">
        <v>41</v>
      </c>
      <c r="E2890" s="3">
        <v>5519780</v>
      </c>
      <c r="Q2890" s="1" t="s">
        <v>191</v>
      </c>
      <c r="S2890" s="1" t="s">
        <v>191</v>
      </c>
      <c r="T2890" s="1" t="s">
        <v>203</v>
      </c>
      <c r="AA2890" s="1">
        <v>5519779.5</v>
      </c>
      <c r="AB2890" s="1" t="s">
        <v>2277</v>
      </c>
      <c r="AC2890" s="5">
        <v>42492</v>
      </c>
      <c r="AF2890" s="1">
        <v>10023</v>
      </c>
      <c r="AJ2890" s="1">
        <v>1920</v>
      </c>
      <c r="AL2890" s="1">
        <v>23</v>
      </c>
    </row>
    <row r="2891" spans="1:38" x14ac:dyDescent="0.2">
      <c r="A2891" s="2" t="str">
        <f>HYPERLINK("https://www.compass.com/listing/340-west-72nd-street-unit-1008-manhattan-ny-10023/29397964229302369/","340 W 72nd St, Unit 1008")</f>
        <v>340 W 72nd St, Unit 1008</v>
      </c>
      <c r="B2891" s="2" t="str">
        <f t="shared" si="446"/>
        <v>The Chatsworth Annex</v>
      </c>
      <c r="C2891" s="1" t="s">
        <v>47</v>
      </c>
      <c r="D2891" s="1" t="s">
        <v>41</v>
      </c>
      <c r="E2891" s="3">
        <v>5890256</v>
      </c>
      <c r="Q2891" s="1" t="s">
        <v>191</v>
      </c>
      <c r="S2891" s="1" t="s">
        <v>191</v>
      </c>
      <c r="T2891" s="1" t="s">
        <v>203</v>
      </c>
      <c r="AA2891" s="1">
        <v>5890256.46</v>
      </c>
      <c r="AB2891" s="1" t="s">
        <v>2278</v>
      </c>
      <c r="AC2891" s="5">
        <v>43161</v>
      </c>
      <c r="AF2891" s="1">
        <v>10023</v>
      </c>
      <c r="AJ2891" s="1">
        <v>1920</v>
      </c>
      <c r="AL2891" s="1">
        <v>23</v>
      </c>
    </row>
    <row r="2892" spans="1:38" x14ac:dyDescent="0.2">
      <c r="A2892" s="2" t="str">
        <f>HYPERLINK("https://www.compass.com/listing/340-west-72nd-street-unit-707-manhattan-ny-10023/29397964497645489/","340 W 72nd St, Unit 707")</f>
        <v>340 W 72nd St, Unit 707</v>
      </c>
      <c r="B2892" s="2" t="str">
        <f t="shared" si="446"/>
        <v>The Chatsworth Annex</v>
      </c>
      <c r="C2892" s="1" t="s">
        <v>47</v>
      </c>
      <c r="D2892" s="1" t="s">
        <v>41</v>
      </c>
      <c r="E2892" s="3">
        <v>4618758</v>
      </c>
      <c r="Q2892" s="1" t="s">
        <v>191</v>
      </c>
      <c r="S2892" s="1" t="s">
        <v>191</v>
      </c>
      <c r="T2892" s="1" t="s">
        <v>203</v>
      </c>
      <c r="AA2892" s="1">
        <v>4618757.6500000004</v>
      </c>
      <c r="AB2892" s="1" t="s">
        <v>2279</v>
      </c>
      <c r="AC2892" s="5">
        <v>42562</v>
      </c>
      <c r="AF2892" s="1">
        <v>10023</v>
      </c>
      <c r="AJ2892" s="1">
        <v>1920</v>
      </c>
      <c r="AL2892" s="1">
        <v>23</v>
      </c>
    </row>
    <row r="2893" spans="1:38" x14ac:dyDescent="0.2">
      <c r="A2893" s="2" t="str">
        <f>HYPERLINK("https://www.compass.com/listing/340-west-72nd-street-unit-7s-manhattan-ny-10023/29397964799651745/","340 W 72nd St, Unit 7S")</f>
        <v>340 W 72nd St, Unit 7S</v>
      </c>
      <c r="B2893" s="2" t="str">
        <f t="shared" si="446"/>
        <v>The Chatsworth Annex</v>
      </c>
      <c r="C2893" s="1" t="s">
        <v>47</v>
      </c>
      <c r="D2893" s="1" t="s">
        <v>41</v>
      </c>
      <c r="E2893" s="3">
        <v>551271</v>
      </c>
      <c r="Q2893" s="1" t="s">
        <v>191</v>
      </c>
      <c r="S2893" s="1" t="s">
        <v>191</v>
      </c>
      <c r="T2893" s="1" t="s">
        <v>203</v>
      </c>
      <c r="AA2893" s="1">
        <v>551271.22</v>
      </c>
      <c r="AB2893" s="1" t="s">
        <v>2280</v>
      </c>
      <c r="AC2893" s="5">
        <v>42656</v>
      </c>
      <c r="AF2893" s="1">
        <v>10023</v>
      </c>
      <c r="AJ2893" s="1">
        <v>1920</v>
      </c>
      <c r="AL2893" s="1">
        <v>23</v>
      </c>
    </row>
    <row r="2894" spans="1:38" x14ac:dyDescent="0.2">
      <c r="A2894" s="2" t="str">
        <f>HYPERLINK("https://www.compass.com/listing/340-west-72nd-street-unit-m003-manhattan-ny-10023/29397965403615169/","340 W 72nd St, Unit M003")</f>
        <v>340 W 72nd St, Unit M003</v>
      </c>
      <c r="B2894" s="2" t="str">
        <f t="shared" si="446"/>
        <v>The Chatsworth Annex</v>
      </c>
      <c r="C2894" s="1" t="s">
        <v>47</v>
      </c>
      <c r="D2894" s="1" t="s">
        <v>41</v>
      </c>
      <c r="E2894" s="3">
        <v>259670</v>
      </c>
      <c r="Q2894" s="1" t="s">
        <v>191</v>
      </c>
      <c r="S2894" s="1" t="s">
        <v>191</v>
      </c>
      <c r="T2894" s="1" t="s">
        <v>203</v>
      </c>
      <c r="AA2894" s="1">
        <v>259669.75</v>
      </c>
      <c r="AB2894" s="1" t="s">
        <v>2281</v>
      </c>
      <c r="AC2894" s="5">
        <v>42858</v>
      </c>
      <c r="AF2894" s="1">
        <v>10023</v>
      </c>
      <c r="AJ2894" s="1">
        <v>1920</v>
      </c>
      <c r="AL2894" s="1">
        <v>23</v>
      </c>
    </row>
    <row r="2895" spans="1:38" x14ac:dyDescent="0.2">
      <c r="A2895" s="2" t="str">
        <f>HYPERLINK("https://www.compass.com/listing/340-west-72nd-street-unit-m003-manhattan-ny-10023/29397965403615185/","340 W 72nd St, Unit M003")</f>
        <v>340 W 72nd St, Unit M003</v>
      </c>
      <c r="B2895" s="2" t="str">
        <f t="shared" si="446"/>
        <v>The Chatsworth Annex</v>
      </c>
      <c r="C2895" s="1" t="s">
        <v>47</v>
      </c>
      <c r="D2895" s="1" t="s">
        <v>41</v>
      </c>
      <c r="E2895" s="3">
        <v>550000</v>
      </c>
      <c r="Q2895" s="1" t="s">
        <v>191</v>
      </c>
      <c r="S2895" s="1" t="s">
        <v>191</v>
      </c>
      <c r="T2895" s="1" t="s">
        <v>203</v>
      </c>
      <c r="AA2895" s="1">
        <v>550000</v>
      </c>
      <c r="AB2895" s="1" t="s">
        <v>2282</v>
      </c>
      <c r="AC2895" s="5">
        <v>43235</v>
      </c>
      <c r="AF2895" s="1">
        <v>10023</v>
      </c>
      <c r="AJ2895" s="1">
        <v>1920</v>
      </c>
      <c r="AL2895" s="1">
        <v>23</v>
      </c>
    </row>
    <row r="2896" spans="1:38" x14ac:dyDescent="0.2">
      <c r="A2896" s="2" t="str">
        <f>HYPERLINK("https://www.compass.com/listing/340-west-72nd-street-unit-603-manhattan-ny-10023/29397965688844209/","340 W 72nd St, Unit 603")</f>
        <v>340 W 72nd St, Unit 603</v>
      </c>
      <c r="B2896" s="2" t="str">
        <f t="shared" si="446"/>
        <v>The Chatsworth Annex</v>
      </c>
      <c r="C2896" s="1" t="s">
        <v>47</v>
      </c>
      <c r="D2896" s="1" t="s">
        <v>41</v>
      </c>
      <c r="E2896" s="3">
        <v>5941088</v>
      </c>
      <c r="Q2896" s="1" t="s">
        <v>191</v>
      </c>
      <c r="S2896" s="1" t="s">
        <v>191</v>
      </c>
      <c r="T2896" s="1" t="s">
        <v>203</v>
      </c>
      <c r="AA2896" s="1">
        <v>5941088</v>
      </c>
      <c r="AB2896" s="1" t="s">
        <v>2283</v>
      </c>
      <c r="AC2896" s="5">
        <v>42506</v>
      </c>
      <c r="AF2896" s="1">
        <v>10023</v>
      </c>
      <c r="AJ2896" s="1">
        <v>1920</v>
      </c>
      <c r="AL2896" s="1">
        <v>23</v>
      </c>
    </row>
    <row r="2897" spans="1:38" x14ac:dyDescent="0.2">
      <c r="A2897" s="2" t="str">
        <f>HYPERLINK("https://www.compass.com/listing/340-west-72nd-street-unit-m002-manhattan-ny-10023/29397965990910097/","340 W 72nd St, Unit M002")</f>
        <v>340 W 72nd St, Unit M002</v>
      </c>
      <c r="B2897" s="2" t="str">
        <f t="shared" si="446"/>
        <v>The Chatsworth Annex</v>
      </c>
      <c r="C2897" s="1" t="s">
        <v>47</v>
      </c>
      <c r="D2897" s="1" t="s">
        <v>41</v>
      </c>
      <c r="E2897" s="3">
        <v>285909</v>
      </c>
      <c r="Q2897" s="1" t="s">
        <v>191</v>
      </c>
      <c r="S2897" s="1" t="s">
        <v>191</v>
      </c>
      <c r="T2897" s="1" t="s">
        <v>203</v>
      </c>
      <c r="AA2897" s="1">
        <v>285909.3</v>
      </c>
      <c r="AB2897" s="1" t="s">
        <v>2284</v>
      </c>
      <c r="AC2897" s="5">
        <v>42860</v>
      </c>
      <c r="AF2897" s="1">
        <v>10023</v>
      </c>
      <c r="AJ2897" s="1">
        <v>1920</v>
      </c>
      <c r="AL2897" s="1">
        <v>23</v>
      </c>
    </row>
    <row r="2898" spans="1:38" x14ac:dyDescent="0.2">
      <c r="A2898" s="2" t="str">
        <f>HYPERLINK("https://www.compass.com/listing/340-west-72nd-street-unit-1007-manhattan-ny-10023/29397966267641825/","340 W 72nd St, Unit 1007")</f>
        <v>340 W 72nd St, Unit 1007</v>
      </c>
      <c r="B2898" s="2" t="str">
        <f t="shared" si="446"/>
        <v>The Chatsworth Annex</v>
      </c>
      <c r="C2898" s="1" t="s">
        <v>47</v>
      </c>
      <c r="D2898" s="1" t="s">
        <v>41</v>
      </c>
      <c r="E2898" s="3">
        <v>4818896</v>
      </c>
      <c r="Q2898" s="1" t="s">
        <v>191</v>
      </c>
      <c r="S2898" s="1" t="s">
        <v>191</v>
      </c>
      <c r="T2898" s="1" t="s">
        <v>203</v>
      </c>
      <c r="AA2898" s="1">
        <v>4818896.18</v>
      </c>
      <c r="AB2898" s="1" t="s">
        <v>2285</v>
      </c>
      <c r="AC2898" s="5">
        <v>42678</v>
      </c>
      <c r="AF2898" s="1">
        <v>10023</v>
      </c>
      <c r="AJ2898" s="1">
        <v>1920</v>
      </c>
      <c r="AL2898" s="1">
        <v>23</v>
      </c>
    </row>
    <row r="2899" spans="1:38" x14ac:dyDescent="0.2">
      <c r="A2899" s="2" t="str">
        <f>HYPERLINK("https://www.compass.com/listing/340-west-72nd-street-unit-408-manhattan-ny-10023/29397966544482241/","340 W 72nd St, Unit 408")</f>
        <v>340 W 72nd St, Unit 408</v>
      </c>
      <c r="B2899" s="2" t="str">
        <f t="shared" si="446"/>
        <v>The Chatsworth Annex</v>
      </c>
      <c r="C2899" s="1" t="s">
        <v>47</v>
      </c>
      <c r="D2899" s="1" t="s">
        <v>41</v>
      </c>
      <c r="E2899" s="3">
        <v>5221074</v>
      </c>
      <c r="Q2899" s="1" t="s">
        <v>191</v>
      </c>
      <c r="S2899" s="1" t="s">
        <v>191</v>
      </c>
      <c r="T2899" s="1" t="s">
        <v>203</v>
      </c>
      <c r="AA2899" s="1">
        <v>5221074.3600000003</v>
      </c>
      <c r="AB2899" s="1" t="s">
        <v>2286</v>
      </c>
      <c r="AC2899" s="5">
        <v>42620</v>
      </c>
      <c r="AF2899" s="1">
        <v>10023</v>
      </c>
      <c r="AJ2899" s="1">
        <v>1920</v>
      </c>
      <c r="AL2899" s="1">
        <v>23</v>
      </c>
    </row>
    <row r="2900" spans="1:38" x14ac:dyDescent="0.2">
      <c r="A2900" s="2" t="str">
        <f>HYPERLINK("https://www.compass.com/listing/340-west-72nd-street-unit-401-manhattan-ny-10023/29397966871713953/","340 W 72nd St, Unit 401")</f>
        <v>340 W 72nd St, Unit 401</v>
      </c>
      <c r="B2900" s="2" t="str">
        <f t="shared" si="446"/>
        <v>The Chatsworth Annex</v>
      </c>
      <c r="C2900" s="1" t="s">
        <v>47</v>
      </c>
      <c r="D2900" s="1" t="s">
        <v>41</v>
      </c>
      <c r="E2900" s="3">
        <v>3652970</v>
      </c>
      <c r="Q2900" s="1" t="s">
        <v>191</v>
      </c>
      <c r="S2900" s="1" t="s">
        <v>191</v>
      </c>
      <c r="T2900" s="1" t="s">
        <v>203</v>
      </c>
      <c r="AA2900" s="1">
        <v>3652969.75</v>
      </c>
      <c r="AB2900" s="1" t="s">
        <v>2287</v>
      </c>
      <c r="AC2900" s="5">
        <v>42506</v>
      </c>
      <c r="AF2900" s="1">
        <v>10023</v>
      </c>
      <c r="AJ2900" s="1">
        <v>1920</v>
      </c>
      <c r="AL2900" s="1">
        <v>23</v>
      </c>
    </row>
    <row r="2901" spans="1:38" x14ac:dyDescent="0.2">
      <c r="A2901" s="2" t="str">
        <f>HYPERLINK("https://www.compass.com/listing/340-west-72nd-street-unit-m001-manhattan-ny-10023/29397967123279857/","340 W 72nd St, Unit M001")</f>
        <v>340 W 72nd St, Unit M001</v>
      </c>
      <c r="B2901" s="2" t="str">
        <f t="shared" si="446"/>
        <v>The Chatsworth Annex</v>
      </c>
      <c r="C2901" s="1" t="s">
        <v>47</v>
      </c>
      <c r="D2901" s="1" t="s">
        <v>41</v>
      </c>
      <c r="E2901" s="3">
        <v>278483</v>
      </c>
      <c r="Q2901" s="1" t="s">
        <v>191</v>
      </c>
      <c r="S2901" s="1" t="s">
        <v>191</v>
      </c>
      <c r="T2901" s="1" t="s">
        <v>203</v>
      </c>
      <c r="AA2901" s="1">
        <v>278483.28000000003</v>
      </c>
      <c r="AB2901" s="1" t="s">
        <v>2288</v>
      </c>
      <c r="AC2901" s="5">
        <v>42860</v>
      </c>
      <c r="AF2901" s="1">
        <v>10023</v>
      </c>
      <c r="AJ2901" s="1">
        <v>1920</v>
      </c>
      <c r="AL2901" s="1">
        <v>23</v>
      </c>
    </row>
    <row r="2902" spans="1:38" x14ac:dyDescent="0.2">
      <c r="A2902" s="2" t="str">
        <f>HYPERLINK("https://www.compass.com/listing/340-west-72nd-street-unit-1004-manhattan-ny-10023/29397967416897489/","340 W 72nd St, Unit 1004")</f>
        <v>340 W 72nd St, Unit 1004</v>
      </c>
      <c r="B2902" s="2" t="str">
        <f t="shared" si="446"/>
        <v>The Chatsworth Annex</v>
      </c>
      <c r="C2902" s="1" t="s">
        <v>47</v>
      </c>
      <c r="D2902" s="1" t="s">
        <v>41</v>
      </c>
      <c r="E2902" s="3">
        <v>3262378</v>
      </c>
      <c r="Q2902" s="1" t="s">
        <v>191</v>
      </c>
      <c r="S2902" s="1" t="s">
        <v>191</v>
      </c>
      <c r="T2902" s="1" t="s">
        <v>203</v>
      </c>
      <c r="AA2902" s="1">
        <v>3262377.59</v>
      </c>
      <c r="AB2902" s="1" t="s">
        <v>2289</v>
      </c>
      <c r="AC2902" s="5">
        <v>42649</v>
      </c>
      <c r="AF2902" s="1">
        <v>10023</v>
      </c>
      <c r="AJ2902" s="1">
        <v>1920</v>
      </c>
      <c r="AL2902" s="1">
        <v>23</v>
      </c>
    </row>
    <row r="2903" spans="1:38" x14ac:dyDescent="0.2">
      <c r="A2903" s="2" t="str">
        <f>HYPERLINK("https://www.compass.com/listing/360-central-park-west-unit-dupc-manhattan-ny-10025/29399278111769841/","360 Central Park W, Unit DUPC")</f>
        <v>360 Central Park W, Unit DUPC</v>
      </c>
      <c r="B2903" s="2" t="str">
        <f>HYPERLINK("https://www.compass.com/building/360-central-park-west-manhattan-ny/281971555427243781/","360 Central Park West")</f>
        <v>360 Central Park West</v>
      </c>
      <c r="C2903" s="1" t="s">
        <v>47</v>
      </c>
      <c r="D2903" s="1" t="s">
        <v>41</v>
      </c>
      <c r="E2903" s="3">
        <v>5656379</v>
      </c>
      <c r="F2903" s="1">
        <v>2496.1953883495098</v>
      </c>
      <c r="M2903" s="4">
        <v>2266</v>
      </c>
      <c r="Q2903" s="1" t="s">
        <v>42</v>
      </c>
      <c r="S2903" s="1" t="s">
        <v>42</v>
      </c>
      <c r="T2903" s="1" t="s">
        <v>203</v>
      </c>
      <c r="AA2903" s="1">
        <v>5656378.75</v>
      </c>
      <c r="AB2903" s="1" t="s">
        <v>2290</v>
      </c>
      <c r="AC2903" s="5">
        <v>43089</v>
      </c>
      <c r="AF2903" s="1">
        <v>10025</v>
      </c>
      <c r="AJ2903" s="1">
        <v>1929</v>
      </c>
      <c r="AK2903" s="1" t="s">
        <v>55</v>
      </c>
      <c r="AL2903" s="1">
        <v>126</v>
      </c>
    </row>
    <row r="2904" spans="1:38" x14ac:dyDescent="0.2">
      <c r="A2904" s="2" t="str">
        <f>HYPERLINK("https://www.compass.com/listing/175-west-95th-street-unit-2a-manhattan-ny-10025/29400315606462305/","175 W 95th St, Unit 2A")</f>
        <v>175 W 95th St, Unit 2A</v>
      </c>
      <c r="B2904" s="2" t="str">
        <f t="shared" ref="B2904:B2941" si="447">HYPERLINK("https://www.compass.com/building/175-w-95th-manhattan-ny/292876785429866517/","175 W 95th")</f>
        <v>175 W 95th</v>
      </c>
      <c r="C2904" s="1" t="s">
        <v>47</v>
      </c>
      <c r="D2904" s="1" t="s">
        <v>41</v>
      </c>
      <c r="E2904" s="3">
        <v>545990</v>
      </c>
      <c r="F2904" s="1">
        <v>568.14821019771</v>
      </c>
      <c r="M2904" s="1">
        <v>961</v>
      </c>
      <c r="Q2904" s="1" t="s">
        <v>42</v>
      </c>
      <c r="S2904" s="1" t="s">
        <v>42</v>
      </c>
      <c r="T2904" s="1" t="s">
        <v>203</v>
      </c>
      <c r="AA2904" s="1">
        <v>545990.43000000005</v>
      </c>
      <c r="AB2904" s="1" t="s">
        <v>2291</v>
      </c>
      <c r="AC2904" s="5">
        <v>42810</v>
      </c>
      <c r="AF2904" s="1">
        <v>10025</v>
      </c>
      <c r="AI2904" s="1" t="s">
        <v>52</v>
      </c>
      <c r="AJ2904" s="1">
        <v>1971</v>
      </c>
      <c r="AK2904" s="1" t="s">
        <v>50</v>
      </c>
      <c r="AL2904" s="1">
        <v>226</v>
      </c>
    </row>
    <row r="2905" spans="1:38" x14ac:dyDescent="0.2">
      <c r="A2905" s="2" t="str">
        <f>HYPERLINK("https://www.compass.com/listing/175-west-95th-street-unit-3a-manhattan-ny-10025/29400316814300961/","175 W 95th St, Unit 3A")</f>
        <v>175 W 95th St, Unit 3A</v>
      </c>
      <c r="B2905" s="2" t="str">
        <f t="shared" si="447"/>
        <v>175 W 95th</v>
      </c>
      <c r="C2905" s="1" t="s">
        <v>47</v>
      </c>
      <c r="D2905" s="1" t="s">
        <v>41</v>
      </c>
      <c r="E2905" s="3">
        <v>692410</v>
      </c>
      <c r="F2905" s="1">
        <v>1078.5202492211799</v>
      </c>
      <c r="M2905" s="1">
        <v>642</v>
      </c>
      <c r="Q2905" s="1" t="s">
        <v>42</v>
      </c>
      <c r="S2905" s="1" t="s">
        <v>42</v>
      </c>
      <c r="T2905" s="1" t="s">
        <v>203</v>
      </c>
      <c r="AA2905" s="1">
        <v>692410</v>
      </c>
      <c r="AB2905" s="1" t="s">
        <v>2292</v>
      </c>
      <c r="AC2905" s="5">
        <v>42321</v>
      </c>
      <c r="AF2905" s="1">
        <v>10025</v>
      </c>
      <c r="AI2905" s="1" t="s">
        <v>52</v>
      </c>
      <c r="AJ2905" s="1">
        <v>1971</v>
      </c>
      <c r="AK2905" s="1" t="s">
        <v>50</v>
      </c>
      <c r="AL2905" s="1">
        <v>226</v>
      </c>
    </row>
    <row r="2906" spans="1:38" x14ac:dyDescent="0.2">
      <c r="A2906" s="2" t="str">
        <f>HYPERLINK("https://www.compass.com/listing/175-west-95th-street-unit-7f-manhattan-ny-10025/29400320413134769/","175 W 95th St, Unit 7F")</f>
        <v>175 W 95th St, Unit 7F</v>
      </c>
      <c r="B2906" s="2" t="str">
        <f t="shared" si="447"/>
        <v>175 W 95th</v>
      </c>
      <c r="C2906" s="1" t="s">
        <v>47</v>
      </c>
      <c r="D2906" s="1" t="s">
        <v>41</v>
      </c>
      <c r="E2906" s="3">
        <v>1344090</v>
      </c>
      <c r="F2906" s="1">
        <v>1416.3224446786</v>
      </c>
      <c r="M2906" s="1">
        <v>949</v>
      </c>
      <c r="Q2906" s="1" t="s">
        <v>42</v>
      </c>
      <c r="S2906" s="1" t="s">
        <v>42</v>
      </c>
      <c r="T2906" s="1" t="s">
        <v>203</v>
      </c>
      <c r="AA2906" s="1">
        <v>1344090</v>
      </c>
      <c r="AB2906" s="1" t="s">
        <v>2293</v>
      </c>
      <c r="AC2906" s="5">
        <v>42338</v>
      </c>
      <c r="AF2906" s="1">
        <v>10025</v>
      </c>
      <c r="AI2906" s="1" t="s">
        <v>52</v>
      </c>
      <c r="AJ2906" s="1">
        <v>1971</v>
      </c>
      <c r="AK2906" s="1" t="s">
        <v>50</v>
      </c>
      <c r="AL2906" s="1">
        <v>226</v>
      </c>
    </row>
    <row r="2907" spans="1:38" x14ac:dyDescent="0.2">
      <c r="A2907" s="2" t="str">
        <f>HYPERLINK("https://www.compass.com/listing/175-west-95th-street-unit-7g-manhattan-ny-10025/29400320715003745/","175 W 95th St, Unit 7G")</f>
        <v>175 W 95th St, Unit 7G</v>
      </c>
      <c r="B2907" s="2" t="str">
        <f t="shared" si="447"/>
        <v>175 W 95th</v>
      </c>
      <c r="C2907" s="1" t="s">
        <v>47</v>
      </c>
      <c r="D2907" s="1" t="s">
        <v>41</v>
      </c>
      <c r="E2907" s="3">
        <v>1293178</v>
      </c>
      <c r="F2907" s="1">
        <v>1344.2593555093499</v>
      </c>
      <c r="M2907" s="1">
        <v>962</v>
      </c>
      <c r="Q2907" s="1" t="s">
        <v>42</v>
      </c>
      <c r="S2907" s="1" t="s">
        <v>42</v>
      </c>
      <c r="T2907" s="1" t="s">
        <v>203</v>
      </c>
      <c r="AA2907" s="1">
        <v>1293177.5</v>
      </c>
      <c r="AB2907" s="1" t="s">
        <v>2294</v>
      </c>
      <c r="AC2907" s="5">
        <v>42303</v>
      </c>
      <c r="AF2907" s="1">
        <v>10025</v>
      </c>
      <c r="AI2907" s="1" t="s">
        <v>52</v>
      </c>
      <c r="AJ2907" s="1">
        <v>1971</v>
      </c>
      <c r="AK2907" s="1" t="s">
        <v>50</v>
      </c>
      <c r="AL2907" s="1">
        <v>226</v>
      </c>
    </row>
    <row r="2908" spans="1:38" x14ac:dyDescent="0.2">
      <c r="A2908" s="2" t="str">
        <f>HYPERLINK("https://www.compass.com/listing/175-west-95th-street-unit-7j-manhattan-ny-10025/29400321352658881/","175 W 95th St, Unit 7J")</f>
        <v>175 W 95th St, Unit 7J</v>
      </c>
      <c r="B2908" s="2" t="str">
        <f t="shared" si="447"/>
        <v>175 W 95th</v>
      </c>
      <c r="C2908" s="1" t="s">
        <v>47</v>
      </c>
      <c r="D2908" s="1" t="s">
        <v>41</v>
      </c>
      <c r="E2908" s="3">
        <v>432186</v>
      </c>
      <c r="F2908" s="1">
        <v>844.11328125</v>
      </c>
      <c r="M2908" s="1">
        <v>512</v>
      </c>
      <c r="Q2908" s="1" t="s">
        <v>42</v>
      </c>
      <c r="S2908" s="1" t="s">
        <v>42</v>
      </c>
      <c r="T2908" s="1" t="s">
        <v>203</v>
      </c>
      <c r="AA2908" s="1">
        <v>432186</v>
      </c>
      <c r="AB2908" s="1" t="s">
        <v>2295</v>
      </c>
      <c r="AC2908" s="5">
        <v>42468</v>
      </c>
      <c r="AF2908" s="1">
        <v>10025</v>
      </c>
      <c r="AI2908" s="1" t="s">
        <v>52</v>
      </c>
      <c r="AJ2908" s="1">
        <v>1971</v>
      </c>
      <c r="AK2908" s="1" t="s">
        <v>50</v>
      </c>
      <c r="AL2908" s="1">
        <v>226</v>
      </c>
    </row>
    <row r="2909" spans="1:38" x14ac:dyDescent="0.2">
      <c r="A2909" s="2" t="str">
        <f>HYPERLINK("https://www.compass.com/listing/175-west-95th-street-unit-8b-manhattan-ny-10025/29400321629362033/","175 W 95th St, Unit 8B")</f>
        <v>175 W 95th St, Unit 8B</v>
      </c>
      <c r="B2909" s="2" t="str">
        <f t="shared" si="447"/>
        <v>175 W 95th</v>
      </c>
      <c r="C2909" s="1" t="s">
        <v>47</v>
      </c>
      <c r="D2909" s="1" t="s">
        <v>41</v>
      </c>
      <c r="E2909" s="3">
        <v>655244</v>
      </c>
      <c r="F2909" s="1">
        <v>669.98351738241297</v>
      </c>
      <c r="M2909" s="1">
        <v>978</v>
      </c>
      <c r="Q2909" s="1" t="s">
        <v>42</v>
      </c>
      <c r="S2909" s="1" t="s">
        <v>42</v>
      </c>
      <c r="T2909" s="1" t="s">
        <v>203</v>
      </c>
      <c r="AA2909" s="1">
        <v>655243.88</v>
      </c>
      <c r="AB2909" s="1" t="s">
        <v>2296</v>
      </c>
      <c r="AC2909" s="5">
        <v>42318</v>
      </c>
      <c r="AF2909" s="1">
        <v>10025</v>
      </c>
      <c r="AI2909" s="1" t="s">
        <v>52</v>
      </c>
      <c r="AJ2909" s="1">
        <v>1971</v>
      </c>
      <c r="AK2909" s="1" t="s">
        <v>50</v>
      </c>
      <c r="AL2909" s="1">
        <v>226</v>
      </c>
    </row>
    <row r="2910" spans="1:38" x14ac:dyDescent="0.2">
      <c r="A2910" s="2" t="str">
        <f>HYPERLINK("https://www.compass.com/listing/175-west-95th-street-unit-9b-manhattan-ny-10025/29400321973373537/","175 W 95th St, Unit 9B")</f>
        <v>175 W 95th St, Unit 9B</v>
      </c>
      <c r="B2910" s="2" t="str">
        <f t="shared" si="447"/>
        <v>175 W 95th</v>
      </c>
      <c r="C2910" s="1" t="s">
        <v>47</v>
      </c>
      <c r="D2910" s="1" t="s">
        <v>41</v>
      </c>
      <c r="E2910" s="3">
        <v>1201535</v>
      </c>
      <c r="F2910" s="1">
        <v>1228.5633946830201</v>
      </c>
      <c r="M2910" s="1">
        <v>978</v>
      </c>
      <c r="Q2910" s="1" t="s">
        <v>42</v>
      </c>
      <c r="S2910" s="1" t="s">
        <v>42</v>
      </c>
      <c r="T2910" s="1" t="s">
        <v>203</v>
      </c>
      <c r="AA2910" s="1">
        <v>1201535</v>
      </c>
      <c r="AB2910" s="1" t="s">
        <v>2297</v>
      </c>
      <c r="AC2910" s="5">
        <v>42314</v>
      </c>
      <c r="AF2910" s="1">
        <v>10025</v>
      </c>
      <c r="AI2910" s="1" t="s">
        <v>52</v>
      </c>
      <c r="AJ2910" s="1">
        <v>1971</v>
      </c>
      <c r="AK2910" s="1" t="s">
        <v>50</v>
      </c>
      <c r="AL2910" s="1">
        <v>226</v>
      </c>
    </row>
    <row r="2911" spans="1:38" x14ac:dyDescent="0.2">
      <c r="A2911" s="2" t="str">
        <f>HYPERLINK("https://www.compass.com/listing/175-west-95th-street-unit-9j-manhattan-ny-10025/29400322602440577/","175 W 95th St, Unit 9J")</f>
        <v>175 W 95th St, Unit 9J</v>
      </c>
      <c r="B2911" s="2" t="str">
        <f t="shared" si="447"/>
        <v>175 W 95th</v>
      </c>
      <c r="C2911" s="1" t="s">
        <v>47</v>
      </c>
      <c r="D2911" s="1" t="s">
        <v>41</v>
      </c>
      <c r="E2911" s="3">
        <v>717866</v>
      </c>
      <c r="F2911" s="1">
        <v>1402.08251953125</v>
      </c>
      <c r="M2911" s="1">
        <v>512</v>
      </c>
      <c r="Q2911" s="1" t="s">
        <v>42</v>
      </c>
      <c r="S2911" s="1" t="s">
        <v>42</v>
      </c>
      <c r="T2911" s="1" t="s">
        <v>203</v>
      </c>
      <c r="AA2911" s="1">
        <v>717866.25</v>
      </c>
      <c r="AB2911" s="1" t="s">
        <v>2298</v>
      </c>
      <c r="AC2911" s="5">
        <v>42300</v>
      </c>
      <c r="AF2911" s="1">
        <v>10025</v>
      </c>
      <c r="AI2911" s="1" t="s">
        <v>52</v>
      </c>
      <c r="AJ2911" s="1">
        <v>1971</v>
      </c>
      <c r="AK2911" s="1" t="s">
        <v>50</v>
      </c>
      <c r="AL2911" s="1">
        <v>226</v>
      </c>
    </row>
    <row r="2912" spans="1:38" x14ac:dyDescent="0.2">
      <c r="A2912" s="2" t="str">
        <f>HYPERLINK("https://www.compass.com/listing/175-west-95th-street-unit-10d-manhattan-ny-10025/29400323206541281/","175 W 95th St, Unit 10D")</f>
        <v>175 W 95th St, Unit 10D</v>
      </c>
      <c r="B2912" s="2" t="str">
        <f t="shared" si="447"/>
        <v>175 W 95th</v>
      </c>
      <c r="C2912" s="1" t="s">
        <v>47</v>
      </c>
      <c r="D2912" s="1" t="s">
        <v>41</v>
      </c>
      <c r="E2912" s="3">
        <v>855330</v>
      </c>
      <c r="F2912" s="1">
        <v>1208.09322033898</v>
      </c>
      <c r="M2912" s="1">
        <v>708</v>
      </c>
      <c r="Q2912" s="1" t="s">
        <v>42</v>
      </c>
      <c r="S2912" s="1" t="s">
        <v>42</v>
      </c>
      <c r="T2912" s="1" t="s">
        <v>203</v>
      </c>
      <c r="AA2912" s="1">
        <v>855330</v>
      </c>
      <c r="AB2912" s="1" t="s">
        <v>2299</v>
      </c>
      <c r="AC2912" s="5">
        <v>42325</v>
      </c>
      <c r="AF2912" s="1">
        <v>10025</v>
      </c>
      <c r="AI2912" s="1" t="s">
        <v>52</v>
      </c>
      <c r="AJ2912" s="1">
        <v>1971</v>
      </c>
      <c r="AK2912" s="1" t="s">
        <v>50</v>
      </c>
      <c r="AL2912" s="1">
        <v>226</v>
      </c>
    </row>
    <row r="2913" spans="1:38" x14ac:dyDescent="0.2">
      <c r="A2913" s="2" t="str">
        <f>HYPERLINK("https://www.compass.com/listing/175-west-95th-street-unit-11a-manhattan-ny-10025/29400323516798865/","175 W 95th St, Unit 11A")</f>
        <v>175 W 95th St, Unit 11A</v>
      </c>
      <c r="B2913" s="2" t="str">
        <f t="shared" si="447"/>
        <v>175 W 95th</v>
      </c>
      <c r="C2913" s="1" t="s">
        <v>47</v>
      </c>
      <c r="D2913" s="1" t="s">
        <v>41</v>
      </c>
      <c r="E2913" s="3">
        <v>799326</v>
      </c>
      <c r="F2913" s="1">
        <v>1245.05646417445</v>
      </c>
      <c r="M2913" s="1">
        <v>642</v>
      </c>
      <c r="Q2913" s="1" t="s">
        <v>42</v>
      </c>
      <c r="S2913" s="1" t="s">
        <v>42</v>
      </c>
      <c r="T2913" s="1" t="s">
        <v>203</v>
      </c>
      <c r="AA2913" s="1">
        <v>799326.25</v>
      </c>
      <c r="AB2913" s="1" t="s">
        <v>2300</v>
      </c>
      <c r="AC2913" s="5">
        <v>42311</v>
      </c>
      <c r="AF2913" s="1">
        <v>10025</v>
      </c>
      <c r="AI2913" s="1" t="s">
        <v>52</v>
      </c>
      <c r="AJ2913" s="1">
        <v>1971</v>
      </c>
      <c r="AK2913" s="1" t="s">
        <v>50</v>
      </c>
      <c r="AL2913" s="1">
        <v>226</v>
      </c>
    </row>
    <row r="2914" spans="1:38" x14ac:dyDescent="0.2">
      <c r="A2914" s="2" t="str">
        <f>HYPERLINK("https://www.compass.com/listing/175-west-95th-street-unit-14g-manhattan-ny-10025/29400325110755409/","175 W 95th St, Unit 14G")</f>
        <v>175 W 95th St, Unit 14G</v>
      </c>
      <c r="B2914" s="2" t="str">
        <f t="shared" si="447"/>
        <v>175 W 95th</v>
      </c>
      <c r="C2914" s="1" t="s">
        <v>47</v>
      </c>
      <c r="D2914" s="1" t="s">
        <v>41</v>
      </c>
      <c r="E2914" s="3">
        <v>1250920</v>
      </c>
      <c r="F2914" s="1">
        <v>1300.33277546777</v>
      </c>
      <c r="M2914" s="1">
        <v>962</v>
      </c>
      <c r="Q2914" s="1" t="s">
        <v>42</v>
      </c>
      <c r="S2914" s="1" t="s">
        <v>42</v>
      </c>
      <c r="T2914" s="1" t="s">
        <v>203</v>
      </c>
      <c r="AA2914" s="1">
        <v>1250920.1299999999</v>
      </c>
      <c r="AB2914" s="1" t="s">
        <v>2301</v>
      </c>
      <c r="AC2914" s="5">
        <v>42307</v>
      </c>
      <c r="AF2914" s="1">
        <v>10025</v>
      </c>
      <c r="AI2914" s="1" t="s">
        <v>52</v>
      </c>
      <c r="AJ2914" s="1">
        <v>1971</v>
      </c>
      <c r="AK2914" s="1" t="s">
        <v>50</v>
      </c>
      <c r="AL2914" s="1">
        <v>226</v>
      </c>
    </row>
    <row r="2915" spans="1:38" x14ac:dyDescent="0.2">
      <c r="A2915" s="2" t="str">
        <f>HYPERLINK("https://www.compass.com/listing/175-west-95th-street-unit-15g-manhattan-ny-10025/29400325823744673/","175 W 95th St, Unit 15G")</f>
        <v>175 W 95th St, Unit 15G</v>
      </c>
      <c r="B2915" s="2" t="str">
        <f t="shared" si="447"/>
        <v>175 W 95th</v>
      </c>
      <c r="C2915" s="1" t="s">
        <v>47</v>
      </c>
      <c r="D2915" s="1" t="s">
        <v>41</v>
      </c>
      <c r="E2915" s="3">
        <v>1410276</v>
      </c>
      <c r="F2915" s="1">
        <v>1465.9836278586199</v>
      </c>
      <c r="M2915" s="1">
        <v>962</v>
      </c>
      <c r="Q2915" s="1" t="s">
        <v>42</v>
      </c>
      <c r="S2915" s="1" t="s">
        <v>42</v>
      </c>
      <c r="T2915" s="1" t="s">
        <v>203</v>
      </c>
      <c r="AA2915" s="1">
        <v>1410276.25</v>
      </c>
      <c r="AB2915" s="1" t="s">
        <v>2302</v>
      </c>
      <c r="AC2915" s="5">
        <v>42326</v>
      </c>
      <c r="AF2915" s="1">
        <v>10025</v>
      </c>
      <c r="AI2915" s="1" t="s">
        <v>52</v>
      </c>
      <c r="AJ2915" s="1">
        <v>1971</v>
      </c>
      <c r="AK2915" s="1" t="s">
        <v>50</v>
      </c>
      <c r="AL2915" s="1">
        <v>226</v>
      </c>
    </row>
    <row r="2916" spans="1:38" x14ac:dyDescent="0.2">
      <c r="A2916" s="2" t="str">
        <f>HYPERLINK("https://www.compass.com/listing/175-west-95th-street-unit-15h-manhattan-ny-10025/29400326134165601/","175 W 95th St, Unit 15H")</f>
        <v>175 W 95th St, Unit 15H</v>
      </c>
      <c r="B2916" s="2" t="str">
        <f t="shared" si="447"/>
        <v>175 W 95th</v>
      </c>
      <c r="C2916" s="1" t="s">
        <v>47</v>
      </c>
      <c r="D2916" s="1" t="s">
        <v>41</v>
      </c>
      <c r="E2916" s="3">
        <v>677136</v>
      </c>
      <c r="F2916" s="1">
        <v>1343.52430555555</v>
      </c>
      <c r="M2916" s="1">
        <v>504</v>
      </c>
      <c r="Q2916" s="1" t="s">
        <v>42</v>
      </c>
      <c r="S2916" s="1" t="s">
        <v>42</v>
      </c>
      <c r="T2916" s="1" t="s">
        <v>203</v>
      </c>
      <c r="AA2916" s="1">
        <v>677136.25</v>
      </c>
      <c r="AB2916" s="1" t="s">
        <v>2303</v>
      </c>
      <c r="AC2916" s="5">
        <v>42348</v>
      </c>
      <c r="AF2916" s="1">
        <v>10025</v>
      </c>
      <c r="AI2916" s="1" t="s">
        <v>52</v>
      </c>
      <c r="AJ2916" s="1">
        <v>1971</v>
      </c>
      <c r="AK2916" s="1" t="s">
        <v>50</v>
      </c>
      <c r="AL2916" s="1">
        <v>226</v>
      </c>
    </row>
    <row r="2917" spans="1:38" x14ac:dyDescent="0.2">
      <c r="A2917" s="2" t="str">
        <f>HYPERLINK("https://www.compass.com/listing/175-west-95th-street-unit-16h-manhattan-ny-10025/29400326830377649/","175 W 95th St, Unit 16H")</f>
        <v>175 W 95th St, Unit 16H</v>
      </c>
      <c r="B2917" s="2" t="str">
        <f t="shared" si="447"/>
        <v>175 W 95th</v>
      </c>
      <c r="C2917" s="1" t="s">
        <v>47</v>
      </c>
      <c r="D2917" s="1" t="s">
        <v>41</v>
      </c>
      <c r="E2917" s="3">
        <v>682228</v>
      </c>
      <c r="F2917" s="1">
        <v>1353.62599206349</v>
      </c>
      <c r="M2917" s="1">
        <v>504</v>
      </c>
      <c r="Q2917" s="1" t="s">
        <v>42</v>
      </c>
      <c r="S2917" s="1" t="s">
        <v>42</v>
      </c>
      <c r="T2917" s="1" t="s">
        <v>203</v>
      </c>
      <c r="AA2917" s="1">
        <v>682227.5</v>
      </c>
      <c r="AB2917" s="1" t="s">
        <v>2304</v>
      </c>
      <c r="AC2917" s="5">
        <v>42341</v>
      </c>
      <c r="AF2917" s="1">
        <v>10025</v>
      </c>
      <c r="AI2917" s="1" t="s">
        <v>52</v>
      </c>
      <c r="AJ2917" s="1">
        <v>1971</v>
      </c>
      <c r="AK2917" s="1" t="s">
        <v>50</v>
      </c>
      <c r="AL2917" s="1">
        <v>226</v>
      </c>
    </row>
    <row r="2918" spans="1:38" x14ac:dyDescent="0.2">
      <c r="A2918" s="2" t="str">
        <f>HYPERLINK("https://www.compass.com/listing/175-west-95th-street-unit-17a-manhattan-ny-10025/29400327492999121/","175 W 95th St, Unit 17A")</f>
        <v>175 W 95th St, Unit 17A</v>
      </c>
      <c r="B2918" s="2" t="str">
        <f t="shared" si="447"/>
        <v>175 W 95th</v>
      </c>
      <c r="C2918" s="1" t="s">
        <v>47</v>
      </c>
      <c r="D2918" s="1" t="s">
        <v>41</v>
      </c>
      <c r="E2918" s="3">
        <v>855330</v>
      </c>
      <c r="F2918" s="1">
        <v>874.57055214723903</v>
      </c>
      <c r="M2918" s="1">
        <v>978</v>
      </c>
      <c r="Q2918" s="1" t="s">
        <v>42</v>
      </c>
      <c r="S2918" s="1" t="s">
        <v>42</v>
      </c>
      <c r="T2918" s="1" t="s">
        <v>203</v>
      </c>
      <c r="AA2918" s="1">
        <v>855330</v>
      </c>
      <c r="AB2918" s="1" t="s">
        <v>2305</v>
      </c>
      <c r="AC2918" s="5">
        <v>42312</v>
      </c>
      <c r="AF2918" s="1">
        <v>10025</v>
      </c>
      <c r="AI2918" s="1" t="s">
        <v>52</v>
      </c>
      <c r="AJ2918" s="1">
        <v>1971</v>
      </c>
      <c r="AK2918" s="1" t="s">
        <v>50</v>
      </c>
      <c r="AL2918" s="1">
        <v>226</v>
      </c>
    </row>
    <row r="2919" spans="1:38" x14ac:dyDescent="0.2">
      <c r="A2919" s="2" t="str">
        <f>HYPERLINK("https://www.compass.com/listing/175-west-95th-street-unit-17c-manhattan-ny-10025/29400327803456193/","175 W 95th St, Unit 17C")</f>
        <v>175 W 95th St, Unit 17C</v>
      </c>
      <c r="B2919" s="2" t="str">
        <f t="shared" si="447"/>
        <v>175 W 95th</v>
      </c>
      <c r="C2919" s="1" t="s">
        <v>47</v>
      </c>
      <c r="D2919" s="1" t="s">
        <v>41</v>
      </c>
      <c r="E2919" s="3">
        <v>2013294</v>
      </c>
      <c r="F2919" s="1">
        <v>1606.7787310454901</v>
      </c>
      <c r="M2919" s="4">
        <v>1253</v>
      </c>
      <c r="Q2919" s="1" t="s">
        <v>42</v>
      </c>
      <c r="S2919" s="1" t="s">
        <v>42</v>
      </c>
      <c r="T2919" s="1" t="s">
        <v>203</v>
      </c>
      <c r="AA2919" s="1">
        <v>2013293.75</v>
      </c>
      <c r="AB2919" s="1" t="s">
        <v>2306</v>
      </c>
      <c r="AC2919" s="5">
        <v>42509</v>
      </c>
      <c r="AF2919" s="1">
        <v>10025</v>
      </c>
      <c r="AI2919" s="1" t="s">
        <v>52</v>
      </c>
      <c r="AJ2919" s="1">
        <v>1971</v>
      </c>
      <c r="AK2919" s="1" t="s">
        <v>50</v>
      </c>
      <c r="AL2919" s="1">
        <v>226</v>
      </c>
    </row>
    <row r="2920" spans="1:38" x14ac:dyDescent="0.2">
      <c r="A2920" s="2" t="str">
        <f>HYPERLINK("https://www.compass.com/listing/175-west-95th-street-unit-17h-manhattan-ny-10025/29400328474466273/","175 W 95th St, Unit 17H")</f>
        <v>175 W 95th St, Unit 17H</v>
      </c>
      <c r="B2920" s="2" t="str">
        <f t="shared" si="447"/>
        <v>175 W 95th</v>
      </c>
      <c r="C2920" s="1" t="s">
        <v>47</v>
      </c>
      <c r="D2920" s="1" t="s">
        <v>41</v>
      </c>
      <c r="E2920" s="3">
        <v>687319</v>
      </c>
      <c r="F2920" s="1">
        <v>1363.72767857142</v>
      </c>
      <c r="M2920" s="1">
        <v>504</v>
      </c>
      <c r="Q2920" s="1" t="s">
        <v>42</v>
      </c>
      <c r="S2920" s="1" t="s">
        <v>42</v>
      </c>
      <c r="T2920" s="1" t="s">
        <v>203</v>
      </c>
      <c r="AA2920" s="1">
        <v>687318.75</v>
      </c>
      <c r="AB2920" s="1" t="s">
        <v>2307</v>
      </c>
      <c r="AC2920" s="5">
        <v>42325</v>
      </c>
      <c r="AF2920" s="1">
        <v>10025</v>
      </c>
      <c r="AI2920" s="1" t="s">
        <v>52</v>
      </c>
      <c r="AJ2920" s="1">
        <v>1971</v>
      </c>
      <c r="AK2920" s="1" t="s">
        <v>50</v>
      </c>
      <c r="AL2920" s="1">
        <v>226</v>
      </c>
    </row>
    <row r="2921" spans="1:38" x14ac:dyDescent="0.2">
      <c r="A2921" s="2" t="str">
        <f>HYPERLINK("https://www.compass.com/listing/175-west-95th-street-unit-18g-manhattan-ny-10025/29400328810089169/","175 W 95th St, Unit 18G")</f>
        <v>175 W 95th St, Unit 18G</v>
      </c>
      <c r="B2921" s="2" t="str">
        <f t="shared" si="447"/>
        <v>175 W 95th</v>
      </c>
      <c r="C2921" s="1" t="s">
        <v>47</v>
      </c>
      <c r="D2921" s="1" t="s">
        <v>41</v>
      </c>
      <c r="E2921" s="3">
        <v>1476463</v>
      </c>
      <c r="F2921" s="1">
        <v>1534.7843035343001</v>
      </c>
      <c r="M2921" s="1">
        <v>962</v>
      </c>
      <c r="Q2921" s="1" t="s">
        <v>42</v>
      </c>
      <c r="S2921" s="1" t="s">
        <v>42</v>
      </c>
      <c r="T2921" s="1" t="s">
        <v>203</v>
      </c>
      <c r="AA2921" s="1">
        <v>1476462.5</v>
      </c>
      <c r="AB2921" s="1" t="s">
        <v>2308</v>
      </c>
      <c r="AC2921" s="5">
        <v>42298</v>
      </c>
      <c r="AF2921" s="1">
        <v>10025</v>
      </c>
      <c r="AI2921" s="1" t="s">
        <v>52</v>
      </c>
      <c r="AJ2921" s="1">
        <v>1971</v>
      </c>
      <c r="AK2921" s="1" t="s">
        <v>50</v>
      </c>
      <c r="AL2921" s="1">
        <v>226</v>
      </c>
    </row>
    <row r="2922" spans="1:38" x14ac:dyDescent="0.2">
      <c r="A2922" s="2" t="str">
        <f>HYPERLINK("https://www.compass.com/listing/175-west-95th-street-unit-18h-manhattan-ny-10025/29400329095344273/","175 W 95th St, Unit 18H")</f>
        <v>175 W 95th St, Unit 18H</v>
      </c>
      <c r="B2922" s="2" t="str">
        <f t="shared" si="447"/>
        <v>175 W 95th</v>
      </c>
      <c r="C2922" s="1" t="s">
        <v>47</v>
      </c>
      <c r="D2922" s="1" t="s">
        <v>41</v>
      </c>
      <c r="E2922" s="3">
        <v>692410</v>
      </c>
      <c r="F2922" s="1">
        <v>1373.8293650793601</v>
      </c>
      <c r="M2922" s="1">
        <v>504</v>
      </c>
      <c r="Q2922" s="1" t="s">
        <v>42</v>
      </c>
      <c r="S2922" s="1" t="s">
        <v>42</v>
      </c>
      <c r="T2922" s="1" t="s">
        <v>203</v>
      </c>
      <c r="AA2922" s="1">
        <v>692410</v>
      </c>
      <c r="AB2922" s="1" t="s">
        <v>2309</v>
      </c>
      <c r="AC2922" s="5">
        <v>42366</v>
      </c>
      <c r="AF2922" s="1">
        <v>10025</v>
      </c>
      <c r="AI2922" s="1" t="s">
        <v>52</v>
      </c>
      <c r="AJ2922" s="1">
        <v>1971</v>
      </c>
      <c r="AK2922" s="1" t="s">
        <v>50</v>
      </c>
      <c r="AL2922" s="1">
        <v>226</v>
      </c>
    </row>
    <row r="2923" spans="1:38" x14ac:dyDescent="0.2">
      <c r="A2923" s="2" t="str">
        <f>HYPERLINK("https://www.compass.com/listing/175-west-95th-street-unit-19f-manhattan-ny-10025/29400330026479777/","175 W 95th St, Unit 19F")</f>
        <v>175 W 95th St, Unit 19F</v>
      </c>
      <c r="B2923" s="2" t="str">
        <f t="shared" si="447"/>
        <v>175 W 95th</v>
      </c>
      <c r="C2923" s="1" t="s">
        <v>47</v>
      </c>
      <c r="D2923" s="1" t="s">
        <v>41</v>
      </c>
      <c r="E2923" s="3">
        <v>1512101</v>
      </c>
      <c r="F2923" s="1">
        <v>1593.3627502634299</v>
      </c>
      <c r="M2923" s="1">
        <v>949</v>
      </c>
      <c r="Q2923" s="1" t="s">
        <v>42</v>
      </c>
      <c r="S2923" s="1" t="s">
        <v>42</v>
      </c>
      <c r="T2923" s="1" t="s">
        <v>203</v>
      </c>
      <c r="AA2923" s="1">
        <v>1512101.25</v>
      </c>
      <c r="AB2923" s="1" t="s">
        <v>2310</v>
      </c>
      <c r="AC2923" s="5">
        <v>42286</v>
      </c>
      <c r="AF2923" s="1">
        <v>10025</v>
      </c>
      <c r="AI2923" s="1" t="s">
        <v>52</v>
      </c>
      <c r="AJ2923" s="1">
        <v>1971</v>
      </c>
      <c r="AK2923" s="1" t="s">
        <v>50</v>
      </c>
      <c r="AL2923" s="1">
        <v>226</v>
      </c>
    </row>
    <row r="2924" spans="1:38" x14ac:dyDescent="0.2">
      <c r="A2924" s="2" t="str">
        <f>HYPERLINK("https://www.compass.com/listing/175-west-95th-street-unit-20d-manhattan-ny-10025/29400330957615281/","175 W 95th St, Unit 20D")</f>
        <v>175 W 95th St, Unit 20D</v>
      </c>
      <c r="B2924" s="2" t="str">
        <f t="shared" si="447"/>
        <v>175 W 95th</v>
      </c>
      <c r="C2924" s="1" t="s">
        <v>47</v>
      </c>
      <c r="D2924" s="1" t="s">
        <v>41</v>
      </c>
      <c r="E2924" s="3">
        <v>926608</v>
      </c>
      <c r="F2924" s="1">
        <v>1308.76765536723</v>
      </c>
      <c r="M2924" s="1">
        <v>708</v>
      </c>
      <c r="Q2924" s="1" t="s">
        <v>42</v>
      </c>
      <c r="S2924" s="1" t="s">
        <v>42</v>
      </c>
      <c r="T2924" s="1" t="s">
        <v>203</v>
      </c>
      <c r="AA2924" s="1">
        <v>926607.5</v>
      </c>
      <c r="AB2924" s="1" t="s">
        <v>2311</v>
      </c>
      <c r="AC2924" s="5">
        <v>42312</v>
      </c>
      <c r="AF2924" s="1">
        <v>10025</v>
      </c>
      <c r="AI2924" s="1" t="s">
        <v>52</v>
      </c>
      <c r="AJ2924" s="1">
        <v>1971</v>
      </c>
      <c r="AK2924" s="1" t="s">
        <v>50</v>
      </c>
      <c r="AL2924" s="1">
        <v>226</v>
      </c>
    </row>
    <row r="2925" spans="1:38" x14ac:dyDescent="0.2">
      <c r="A2925" s="2" t="str">
        <f>HYPERLINK("https://www.compass.com/listing/175-west-95th-street-unit-21a-manhattan-ny-10025/29400331670604545/","175 W 95th St, Unit 21A")</f>
        <v>175 W 95th St, Unit 21A</v>
      </c>
      <c r="B2925" s="2" t="str">
        <f t="shared" si="447"/>
        <v>175 W 95th</v>
      </c>
      <c r="C2925" s="1" t="s">
        <v>47</v>
      </c>
      <c r="D2925" s="1" t="s">
        <v>41</v>
      </c>
      <c r="E2925" s="3">
        <v>865513</v>
      </c>
      <c r="F2925" s="1">
        <v>1348.15031152647</v>
      </c>
      <c r="M2925" s="1">
        <v>642</v>
      </c>
      <c r="Q2925" s="1" t="s">
        <v>42</v>
      </c>
      <c r="S2925" s="1" t="s">
        <v>42</v>
      </c>
      <c r="T2925" s="1" t="s">
        <v>203</v>
      </c>
      <c r="AA2925" s="1">
        <v>865512.5</v>
      </c>
      <c r="AB2925" s="1" t="s">
        <v>2312</v>
      </c>
      <c r="AC2925" s="5">
        <v>42293</v>
      </c>
      <c r="AF2925" s="1">
        <v>10025</v>
      </c>
      <c r="AI2925" s="1" t="s">
        <v>52</v>
      </c>
      <c r="AJ2925" s="1">
        <v>1971</v>
      </c>
      <c r="AK2925" s="1" t="s">
        <v>50</v>
      </c>
      <c r="AL2925" s="1">
        <v>226</v>
      </c>
    </row>
    <row r="2926" spans="1:38" x14ac:dyDescent="0.2">
      <c r="A2926" s="2" t="str">
        <f>HYPERLINK("https://www.compass.com/listing/175-west-95th-street-unit-22a-manhattan-ny-10025/29400333415356481/","175 W 95th St, Unit 22A")</f>
        <v>175 W 95th St, Unit 22A</v>
      </c>
      <c r="B2926" s="2" t="str">
        <f t="shared" si="447"/>
        <v>175 W 95th</v>
      </c>
      <c r="C2926" s="1" t="s">
        <v>47</v>
      </c>
      <c r="D2926" s="1" t="s">
        <v>41</v>
      </c>
      <c r="E2926" s="3">
        <v>890969</v>
      </c>
      <c r="F2926" s="1">
        <v>1387.80179127725</v>
      </c>
      <c r="M2926" s="1">
        <v>642</v>
      </c>
      <c r="Q2926" s="1" t="s">
        <v>42</v>
      </c>
      <c r="S2926" s="1" t="s">
        <v>42</v>
      </c>
      <c r="T2926" s="1" t="s">
        <v>203</v>
      </c>
      <c r="AA2926" s="1">
        <v>890968.75</v>
      </c>
      <c r="AB2926" s="1" t="s">
        <v>2313</v>
      </c>
      <c r="AC2926" s="5">
        <v>42306</v>
      </c>
      <c r="AF2926" s="1">
        <v>10025</v>
      </c>
      <c r="AI2926" s="1" t="s">
        <v>52</v>
      </c>
      <c r="AJ2926" s="1">
        <v>1971</v>
      </c>
      <c r="AK2926" s="1" t="s">
        <v>50</v>
      </c>
      <c r="AL2926" s="1">
        <v>226</v>
      </c>
    </row>
    <row r="2927" spans="1:38" x14ac:dyDescent="0.2">
      <c r="A2927" s="2" t="str">
        <f>HYPERLINK("https://www.compass.com/listing/175-west-95th-street-unit-22g-manhattan-ny-10025/29400334061400289/","175 W 95th St, Unit 22G")</f>
        <v>175 W 95th St, Unit 22G</v>
      </c>
      <c r="B2927" s="2" t="str">
        <f t="shared" si="447"/>
        <v>175 W 95th</v>
      </c>
      <c r="C2927" s="1" t="s">
        <v>47</v>
      </c>
      <c r="D2927" s="1" t="s">
        <v>41</v>
      </c>
      <c r="E2927" s="3">
        <v>1514468</v>
      </c>
      <c r="F2927" s="1">
        <v>1574.29054054054</v>
      </c>
      <c r="H2927" s="1">
        <v>2</v>
      </c>
      <c r="J2927" s="1">
        <v>2</v>
      </c>
      <c r="M2927" s="1">
        <v>962</v>
      </c>
      <c r="N2927" s="1">
        <v>1091</v>
      </c>
      <c r="O2927" s="1">
        <v>1535</v>
      </c>
      <c r="P2927" s="1">
        <v>444</v>
      </c>
      <c r="Q2927" s="1" t="s">
        <v>42</v>
      </c>
      <c r="S2927" s="1" t="s">
        <v>42</v>
      </c>
      <c r="T2927" s="1" t="s">
        <v>203</v>
      </c>
      <c r="AA2927" s="1">
        <v>1514467.5</v>
      </c>
      <c r="AB2927" s="1" t="s">
        <v>2314</v>
      </c>
      <c r="AC2927" s="5">
        <v>42376</v>
      </c>
      <c r="AF2927" s="1">
        <v>10025</v>
      </c>
      <c r="AI2927" s="1" t="s">
        <v>52</v>
      </c>
      <c r="AJ2927" s="1">
        <v>1971</v>
      </c>
      <c r="AK2927" s="1" t="s">
        <v>50</v>
      </c>
      <c r="AL2927" s="1">
        <v>226</v>
      </c>
    </row>
    <row r="2928" spans="1:38" x14ac:dyDescent="0.2">
      <c r="A2928" s="2" t="str">
        <f>HYPERLINK("https://www.compass.com/listing/175-west-95th-street-unit-22h-manhattan-ny-10025/29400334354880593/","175 W 95th St, Unit 22H")</f>
        <v>175 W 95th St, Unit 22H</v>
      </c>
      <c r="B2928" s="2" t="str">
        <f t="shared" si="447"/>
        <v>175 W 95th</v>
      </c>
      <c r="C2928" s="1" t="s">
        <v>47</v>
      </c>
      <c r="D2928" s="1" t="s">
        <v>41</v>
      </c>
      <c r="E2928" s="3">
        <v>728049</v>
      </c>
      <c r="F2928" s="1">
        <v>1444.54117063492</v>
      </c>
      <c r="M2928" s="1">
        <v>504</v>
      </c>
      <c r="Q2928" s="1" t="s">
        <v>42</v>
      </c>
      <c r="S2928" s="1" t="s">
        <v>42</v>
      </c>
      <c r="T2928" s="1" t="s">
        <v>203</v>
      </c>
      <c r="AA2928" s="1">
        <v>728048.75</v>
      </c>
      <c r="AB2928" s="1" t="s">
        <v>2315</v>
      </c>
      <c r="AC2928" s="5">
        <v>42346</v>
      </c>
      <c r="AF2928" s="1">
        <v>10025</v>
      </c>
      <c r="AI2928" s="1" t="s">
        <v>52</v>
      </c>
      <c r="AJ2928" s="1">
        <v>1971</v>
      </c>
      <c r="AK2928" s="1" t="s">
        <v>50</v>
      </c>
      <c r="AL2928" s="1">
        <v>226</v>
      </c>
    </row>
    <row r="2929" spans="1:38" x14ac:dyDescent="0.2">
      <c r="A2929" s="2" t="str">
        <f>HYPERLINK("https://www.compass.com/listing/175-west-95th-street-unit-24a-manhattan-ny-10025/29400335755856705/","175 W 95th St, Unit 24A")</f>
        <v>175 W 95th St, Unit 24A</v>
      </c>
      <c r="B2929" s="2" t="str">
        <f t="shared" si="447"/>
        <v>175 W 95th</v>
      </c>
      <c r="C2929" s="1" t="s">
        <v>47</v>
      </c>
      <c r="D2929" s="1" t="s">
        <v>41</v>
      </c>
      <c r="E2929" s="3">
        <v>896060</v>
      </c>
      <c r="F2929" s="1">
        <v>1395.7320872274099</v>
      </c>
      <c r="M2929" s="1">
        <v>642</v>
      </c>
      <c r="Q2929" s="1" t="s">
        <v>42</v>
      </c>
      <c r="S2929" s="1" t="s">
        <v>42</v>
      </c>
      <c r="T2929" s="1" t="s">
        <v>203</v>
      </c>
      <c r="AA2929" s="1">
        <v>896060</v>
      </c>
      <c r="AB2929" s="1" t="s">
        <v>2316</v>
      </c>
      <c r="AC2929" s="5">
        <v>42304</v>
      </c>
      <c r="AF2929" s="1">
        <v>10025</v>
      </c>
      <c r="AI2929" s="1" t="s">
        <v>52</v>
      </c>
      <c r="AJ2929" s="1">
        <v>1971</v>
      </c>
      <c r="AK2929" s="1" t="s">
        <v>50</v>
      </c>
      <c r="AL2929" s="1">
        <v>226</v>
      </c>
    </row>
    <row r="2930" spans="1:38" x14ac:dyDescent="0.2">
      <c r="A2930" s="2" t="str">
        <f>HYPERLINK("https://www.compass.com/listing/175-west-95th-street-unit-24b-manhattan-ny-10025/29400336066277649/","175 W 95th St, Unit 24B")</f>
        <v>175 W 95th St, Unit 24B</v>
      </c>
      <c r="B2930" s="2" t="str">
        <f t="shared" si="447"/>
        <v>175 W 95th</v>
      </c>
      <c r="C2930" s="1" t="s">
        <v>47</v>
      </c>
      <c r="D2930" s="1" t="s">
        <v>41</v>
      </c>
      <c r="E2930" s="3">
        <v>1278413</v>
      </c>
      <c r="F2930" s="1">
        <v>1307.1706339468301</v>
      </c>
      <c r="M2930" s="1">
        <v>978</v>
      </c>
      <c r="Q2930" s="1" t="s">
        <v>42</v>
      </c>
      <c r="S2930" s="1" t="s">
        <v>42</v>
      </c>
      <c r="T2930" s="1" t="s">
        <v>203</v>
      </c>
      <c r="AA2930" s="1">
        <v>1278412.8799999999</v>
      </c>
      <c r="AB2930" s="1" t="s">
        <v>2317</v>
      </c>
      <c r="AC2930" s="5">
        <v>42307</v>
      </c>
      <c r="AF2930" s="1">
        <v>10025</v>
      </c>
      <c r="AI2930" s="1" t="s">
        <v>52</v>
      </c>
      <c r="AJ2930" s="1">
        <v>1971</v>
      </c>
      <c r="AK2930" s="1" t="s">
        <v>50</v>
      </c>
      <c r="AL2930" s="1">
        <v>226</v>
      </c>
    </row>
    <row r="2931" spans="1:38" x14ac:dyDescent="0.2">
      <c r="A2931" s="2" t="str">
        <f>HYPERLINK("https://www.compass.com/listing/175-west-95th-street-unit-24d-manhattan-ny-10025/29400336342980721/","175 W 95th St, Unit 24D")</f>
        <v>175 W 95th St, Unit 24D</v>
      </c>
      <c r="B2931" s="2" t="str">
        <f t="shared" si="447"/>
        <v>175 W 95th</v>
      </c>
      <c r="C2931" s="1" t="s">
        <v>47</v>
      </c>
      <c r="D2931" s="1" t="s">
        <v>41</v>
      </c>
      <c r="E2931" s="3">
        <v>967338</v>
      </c>
      <c r="F2931" s="1">
        <v>1366.2959039548</v>
      </c>
      <c r="M2931" s="1">
        <v>708</v>
      </c>
      <c r="Q2931" s="1" t="s">
        <v>42</v>
      </c>
      <c r="S2931" s="1" t="s">
        <v>42</v>
      </c>
      <c r="T2931" s="1" t="s">
        <v>203</v>
      </c>
      <c r="AA2931" s="1">
        <v>967337.5</v>
      </c>
      <c r="AB2931" s="1" t="s">
        <v>2318</v>
      </c>
      <c r="AC2931" s="5">
        <v>42314</v>
      </c>
      <c r="AF2931" s="1">
        <v>10025</v>
      </c>
      <c r="AI2931" s="1" t="s">
        <v>52</v>
      </c>
      <c r="AJ2931" s="1">
        <v>1971</v>
      </c>
      <c r="AK2931" s="1" t="s">
        <v>50</v>
      </c>
      <c r="AL2931" s="1">
        <v>226</v>
      </c>
    </row>
    <row r="2932" spans="1:38" x14ac:dyDescent="0.2">
      <c r="A2932" s="2" t="str">
        <f>HYPERLINK("https://www.compass.com/listing/175-west-95th-street-unit-24e-manhattan-ny-10025/29400336703769425/","175 W 95th St, Unit 24E")</f>
        <v>175 W 95th St, Unit 24E</v>
      </c>
      <c r="B2932" s="2" t="str">
        <f t="shared" si="447"/>
        <v>175 W 95th</v>
      </c>
      <c r="C2932" s="1" t="s">
        <v>47</v>
      </c>
      <c r="D2932" s="1" t="s">
        <v>41</v>
      </c>
      <c r="E2932" s="3">
        <v>1476463</v>
      </c>
      <c r="F2932" s="1">
        <v>1534.7843035343001</v>
      </c>
      <c r="M2932" s="1">
        <v>962</v>
      </c>
      <c r="Q2932" s="1" t="s">
        <v>42</v>
      </c>
      <c r="S2932" s="1" t="s">
        <v>42</v>
      </c>
      <c r="T2932" s="1" t="s">
        <v>203</v>
      </c>
      <c r="AA2932" s="1">
        <v>1476462.5</v>
      </c>
      <c r="AB2932" s="1" t="s">
        <v>2319</v>
      </c>
      <c r="AC2932" s="5">
        <v>42310</v>
      </c>
      <c r="AF2932" s="1">
        <v>10025</v>
      </c>
      <c r="AI2932" s="1" t="s">
        <v>52</v>
      </c>
      <c r="AJ2932" s="1">
        <v>1971</v>
      </c>
      <c r="AK2932" s="1" t="s">
        <v>50</v>
      </c>
      <c r="AL2932" s="1">
        <v>226</v>
      </c>
    </row>
    <row r="2933" spans="1:38" x14ac:dyDescent="0.2">
      <c r="A2933" s="2" t="str">
        <f>HYPERLINK("https://www.compass.com/listing/175-west-95th-street-unit-24f-manhattan-ny-10025/29400337005801777/","175 W 95th St, Unit 24F")</f>
        <v>175 W 95th St, Unit 24F</v>
      </c>
      <c r="B2933" s="2" t="str">
        <f t="shared" si="447"/>
        <v>175 W 95th</v>
      </c>
      <c r="C2933" s="1" t="s">
        <v>47</v>
      </c>
      <c r="D2933" s="1" t="s">
        <v>41</v>
      </c>
      <c r="E2933" s="3">
        <v>1466280</v>
      </c>
      <c r="F2933" s="1">
        <v>1545.0790305584801</v>
      </c>
      <c r="H2933" s="1">
        <v>2</v>
      </c>
      <c r="J2933" s="1">
        <v>1</v>
      </c>
      <c r="M2933" s="1">
        <v>949</v>
      </c>
      <c r="N2933" s="1">
        <v>1089</v>
      </c>
      <c r="O2933" s="1">
        <v>1533</v>
      </c>
      <c r="P2933" s="1">
        <v>444</v>
      </c>
      <c r="Q2933" s="1" t="s">
        <v>42</v>
      </c>
      <c r="S2933" s="1" t="s">
        <v>42</v>
      </c>
      <c r="T2933" s="1" t="s">
        <v>203</v>
      </c>
      <c r="AA2933" s="1">
        <v>1466280</v>
      </c>
      <c r="AB2933" s="1" t="s">
        <v>2320</v>
      </c>
      <c r="AC2933" s="5">
        <v>42346</v>
      </c>
      <c r="AF2933" s="1">
        <v>10025</v>
      </c>
      <c r="AI2933" s="1" t="s">
        <v>52</v>
      </c>
      <c r="AJ2933" s="1">
        <v>1971</v>
      </c>
      <c r="AK2933" s="1" t="s">
        <v>50</v>
      </c>
      <c r="AL2933" s="1">
        <v>226</v>
      </c>
    </row>
    <row r="2934" spans="1:38" x14ac:dyDescent="0.2">
      <c r="A2934" s="2" t="str">
        <f>HYPERLINK("https://www.compass.com/listing/175-west-95th-street-unit-24g-manhattan-ny-10025/29400337416722561/","175 W 95th St, Unit 24G")</f>
        <v>175 W 95th St, Unit 24G</v>
      </c>
      <c r="B2934" s="2" t="str">
        <f t="shared" si="447"/>
        <v>175 W 95th</v>
      </c>
      <c r="C2934" s="1" t="s">
        <v>47</v>
      </c>
      <c r="D2934" s="1" t="s">
        <v>41</v>
      </c>
      <c r="E2934" s="3">
        <v>1415368</v>
      </c>
      <c r="F2934" s="1">
        <v>1471.2759875259801</v>
      </c>
      <c r="M2934" s="1">
        <v>962</v>
      </c>
      <c r="Q2934" s="1" t="s">
        <v>42</v>
      </c>
      <c r="S2934" s="1" t="s">
        <v>42</v>
      </c>
      <c r="T2934" s="1" t="s">
        <v>203</v>
      </c>
      <c r="AA2934" s="1">
        <v>1415367.5</v>
      </c>
      <c r="AB2934" s="1" t="s">
        <v>2321</v>
      </c>
      <c r="AC2934" s="5">
        <v>42374</v>
      </c>
      <c r="AF2934" s="1">
        <v>10025</v>
      </c>
      <c r="AI2934" s="1" t="s">
        <v>52</v>
      </c>
      <c r="AJ2934" s="1">
        <v>1971</v>
      </c>
      <c r="AK2934" s="1" t="s">
        <v>50</v>
      </c>
      <c r="AL2934" s="1">
        <v>226</v>
      </c>
    </row>
    <row r="2935" spans="1:38" x14ac:dyDescent="0.2">
      <c r="A2935" s="2" t="str">
        <f>HYPERLINK("https://www.compass.com/listing/175-west-95th-street-unit-25d-manhattan-ny-10025/29400338490464401/","175 W 95th St, Unit 25D")</f>
        <v>175 W 95th St, Unit 25D</v>
      </c>
      <c r="B2935" s="2" t="str">
        <f t="shared" si="447"/>
        <v>175 W 95th</v>
      </c>
      <c r="C2935" s="1" t="s">
        <v>47</v>
      </c>
      <c r="D2935" s="1" t="s">
        <v>41</v>
      </c>
      <c r="E2935" s="3">
        <v>1043706</v>
      </c>
      <c r="F2935" s="1">
        <v>1474.1613700564899</v>
      </c>
      <c r="M2935" s="1">
        <v>708</v>
      </c>
      <c r="Q2935" s="1" t="s">
        <v>42</v>
      </c>
      <c r="S2935" s="1" t="s">
        <v>42</v>
      </c>
      <c r="T2935" s="1" t="s">
        <v>203</v>
      </c>
      <c r="AA2935" s="1">
        <v>1043706.25</v>
      </c>
      <c r="AB2935" s="1" t="s">
        <v>2322</v>
      </c>
      <c r="AC2935" s="5">
        <v>42312</v>
      </c>
      <c r="AF2935" s="1">
        <v>10025</v>
      </c>
      <c r="AI2935" s="1" t="s">
        <v>52</v>
      </c>
      <c r="AJ2935" s="1">
        <v>1971</v>
      </c>
      <c r="AK2935" s="1" t="s">
        <v>50</v>
      </c>
      <c r="AL2935" s="1">
        <v>226</v>
      </c>
    </row>
    <row r="2936" spans="1:38" x14ac:dyDescent="0.2">
      <c r="A2936" s="2" t="str">
        <f>HYPERLINK("https://www.compass.com/listing/175-west-95th-street-unit-25j-manhattan-ny-10025/29400338817698673/","175 W 95th St, Unit 25J")</f>
        <v>175 W 95th St, Unit 25J</v>
      </c>
      <c r="B2936" s="2" t="str">
        <f t="shared" si="447"/>
        <v>175 W 95th</v>
      </c>
      <c r="C2936" s="1" t="s">
        <v>47</v>
      </c>
      <c r="D2936" s="1" t="s">
        <v>41</v>
      </c>
      <c r="E2936" s="3">
        <v>794235</v>
      </c>
      <c r="F2936" s="1">
        <v>825.60810810810801</v>
      </c>
      <c r="M2936" s="1">
        <v>962</v>
      </c>
      <c r="Q2936" s="1" t="s">
        <v>42</v>
      </c>
      <c r="S2936" s="1" t="s">
        <v>42</v>
      </c>
      <c r="T2936" s="1" t="s">
        <v>203</v>
      </c>
      <c r="AA2936" s="1">
        <v>794235</v>
      </c>
      <c r="AB2936" s="1" t="s">
        <v>2323</v>
      </c>
      <c r="AC2936" s="5">
        <v>42328</v>
      </c>
      <c r="AF2936" s="1">
        <v>10025</v>
      </c>
      <c r="AI2936" s="1" t="s">
        <v>52</v>
      </c>
      <c r="AJ2936" s="1">
        <v>1971</v>
      </c>
      <c r="AK2936" s="1" t="s">
        <v>50</v>
      </c>
      <c r="AL2936" s="1">
        <v>226</v>
      </c>
    </row>
    <row r="2937" spans="1:38" x14ac:dyDescent="0.2">
      <c r="A2937" s="2" t="str">
        <f>HYPERLINK("https://www.compass.com/listing/175-west-95th-street-unit-26g-manhattan-ny-10025/29400340025700721/","175 W 95th St, Unit 26G")</f>
        <v>175 W 95th St, Unit 26G</v>
      </c>
      <c r="B2937" s="2" t="str">
        <f t="shared" si="447"/>
        <v>175 W 95th</v>
      </c>
      <c r="C2937" s="1" t="s">
        <v>47</v>
      </c>
      <c r="D2937" s="1" t="s">
        <v>41</v>
      </c>
      <c r="E2937" s="3">
        <v>1583379</v>
      </c>
      <c r="F2937" s="1">
        <v>1645.9238565488499</v>
      </c>
      <c r="M2937" s="1">
        <v>962</v>
      </c>
      <c r="Q2937" s="1" t="s">
        <v>42</v>
      </c>
      <c r="S2937" s="1" t="s">
        <v>42</v>
      </c>
      <c r="T2937" s="1" t="s">
        <v>203</v>
      </c>
      <c r="AA2937" s="1">
        <v>1583378.75</v>
      </c>
      <c r="AB2937" s="1" t="s">
        <v>2324</v>
      </c>
      <c r="AC2937" s="5">
        <v>42348</v>
      </c>
      <c r="AF2937" s="1">
        <v>10025</v>
      </c>
      <c r="AI2937" s="1" t="s">
        <v>52</v>
      </c>
      <c r="AJ2937" s="1">
        <v>1971</v>
      </c>
      <c r="AK2937" s="1" t="s">
        <v>50</v>
      </c>
      <c r="AL2937" s="1">
        <v>226</v>
      </c>
    </row>
    <row r="2938" spans="1:38" x14ac:dyDescent="0.2">
      <c r="A2938" s="2" t="str">
        <f>HYPERLINK("https://www.compass.com/listing/175-west-95th-street-unit-27a-manhattan-ny-10025/29400340805798801/","175 W 95th St, Unit 27A")</f>
        <v>175 W 95th St, Unit 27A</v>
      </c>
      <c r="B2938" s="2" t="str">
        <f t="shared" si="447"/>
        <v>175 W 95th</v>
      </c>
      <c r="C2938" s="1" t="s">
        <v>47</v>
      </c>
      <c r="D2938" s="1" t="s">
        <v>41</v>
      </c>
      <c r="E2938" s="3">
        <v>509634</v>
      </c>
      <c r="F2938" s="1">
        <v>793.82263239875294</v>
      </c>
      <c r="M2938" s="1">
        <v>642</v>
      </c>
      <c r="Q2938" s="1" t="s">
        <v>42</v>
      </c>
      <c r="S2938" s="1" t="s">
        <v>42</v>
      </c>
      <c r="T2938" s="1" t="s">
        <v>203</v>
      </c>
      <c r="AA2938" s="1">
        <v>509634.13</v>
      </c>
      <c r="AB2938" s="1" t="s">
        <v>2325</v>
      </c>
      <c r="AC2938" s="5">
        <v>42307</v>
      </c>
      <c r="AF2938" s="1">
        <v>10025</v>
      </c>
      <c r="AI2938" s="1" t="s">
        <v>52</v>
      </c>
      <c r="AJ2938" s="1">
        <v>1971</v>
      </c>
      <c r="AK2938" s="1" t="s">
        <v>50</v>
      </c>
      <c r="AL2938" s="1">
        <v>226</v>
      </c>
    </row>
    <row r="2939" spans="1:38" x14ac:dyDescent="0.2">
      <c r="A2939" s="2" t="str">
        <f>HYPERLINK("https://www.compass.com/listing/175-west-95th-street-unit-27g-manhattan-ny-10025/29400341091053953/","175 W 95th St, Unit 27G")</f>
        <v>175 W 95th St, Unit 27G</v>
      </c>
      <c r="B2939" s="2" t="str">
        <f t="shared" si="447"/>
        <v>175 W 95th</v>
      </c>
      <c r="C2939" s="1" t="s">
        <v>47</v>
      </c>
      <c r="D2939" s="1" t="s">
        <v>41</v>
      </c>
      <c r="E2939" s="3">
        <v>1588470</v>
      </c>
      <c r="F2939" s="1">
        <v>1651.2162162162099</v>
      </c>
      <c r="M2939" s="1">
        <v>962</v>
      </c>
      <c r="Q2939" s="1" t="s">
        <v>42</v>
      </c>
      <c r="S2939" s="1" t="s">
        <v>42</v>
      </c>
      <c r="T2939" s="1" t="s">
        <v>203</v>
      </c>
      <c r="AA2939" s="1">
        <v>1588470</v>
      </c>
      <c r="AB2939" s="1" t="s">
        <v>2326</v>
      </c>
      <c r="AC2939" s="5">
        <v>42290</v>
      </c>
      <c r="AF2939" s="1">
        <v>10025</v>
      </c>
      <c r="AI2939" s="1" t="s">
        <v>52</v>
      </c>
      <c r="AJ2939" s="1">
        <v>1971</v>
      </c>
      <c r="AK2939" s="1" t="s">
        <v>50</v>
      </c>
      <c r="AL2939" s="1">
        <v>226</v>
      </c>
    </row>
    <row r="2940" spans="1:38" x14ac:dyDescent="0.2">
      <c r="A2940" s="2" t="str">
        <f>HYPERLINK("https://www.compass.com/listing/175-west-95th-street-unit-27j-manhattan-ny-10025/29400341745322913/","175 W 95th St, Unit 27J")</f>
        <v>175 W 95th St, Unit 27J</v>
      </c>
      <c r="B2940" s="2" t="str">
        <f t="shared" si="447"/>
        <v>175 W 95th</v>
      </c>
      <c r="C2940" s="1" t="s">
        <v>47</v>
      </c>
      <c r="D2940" s="1" t="s">
        <v>41</v>
      </c>
      <c r="E2940" s="3">
        <v>804418</v>
      </c>
      <c r="F2940" s="1">
        <v>1571.1279296875</v>
      </c>
      <c r="M2940" s="1">
        <v>512</v>
      </c>
      <c r="Q2940" s="1" t="s">
        <v>42</v>
      </c>
      <c r="S2940" s="1" t="s">
        <v>42</v>
      </c>
      <c r="T2940" s="1" t="s">
        <v>203</v>
      </c>
      <c r="AA2940" s="1">
        <v>804417.5</v>
      </c>
      <c r="AB2940" s="1" t="s">
        <v>2327</v>
      </c>
      <c r="AC2940" s="5">
        <v>42303</v>
      </c>
      <c r="AF2940" s="1">
        <v>10025</v>
      </c>
      <c r="AI2940" s="1" t="s">
        <v>52</v>
      </c>
      <c r="AJ2940" s="1">
        <v>1971</v>
      </c>
      <c r="AK2940" s="1" t="s">
        <v>50</v>
      </c>
      <c r="AL2940" s="1">
        <v>226</v>
      </c>
    </row>
    <row r="2941" spans="1:38" x14ac:dyDescent="0.2">
      <c r="A2941" s="2" t="str">
        <f>HYPERLINK("https://www.compass.com/listing/175-west-95th-street-unit-28d-manhattan-ny-10025/29400342030578065/","175 W 95th St, Unit 28D")</f>
        <v>175 W 95th St, Unit 28D</v>
      </c>
      <c r="B2941" s="2" t="str">
        <f t="shared" si="447"/>
        <v>175 W 95th</v>
      </c>
      <c r="C2941" s="1" t="s">
        <v>47</v>
      </c>
      <c r="D2941" s="1" t="s">
        <v>41</v>
      </c>
      <c r="E2941" s="3">
        <v>1120075</v>
      </c>
      <c r="F2941" s="1">
        <v>1582.02683615819</v>
      </c>
      <c r="M2941" s="1">
        <v>708</v>
      </c>
      <c r="Q2941" s="1" t="s">
        <v>42</v>
      </c>
      <c r="S2941" s="1" t="s">
        <v>42</v>
      </c>
      <c r="T2941" s="1" t="s">
        <v>203</v>
      </c>
      <c r="AA2941" s="1">
        <v>1120075</v>
      </c>
      <c r="AB2941" s="1" t="s">
        <v>2328</v>
      </c>
      <c r="AC2941" s="5">
        <v>42306</v>
      </c>
      <c r="AF2941" s="1">
        <v>10025</v>
      </c>
      <c r="AI2941" s="1" t="s">
        <v>52</v>
      </c>
      <c r="AJ2941" s="1">
        <v>1971</v>
      </c>
      <c r="AK2941" s="1" t="s">
        <v>50</v>
      </c>
      <c r="AL2941" s="1">
        <v>226</v>
      </c>
    </row>
    <row r="2942" spans="1:38" x14ac:dyDescent="0.2">
      <c r="A2942" s="2" t="str">
        <f>HYPERLINK("https://www.compass.com/listing/40-east-72nd-street-unit-21b-manhattan-ny-10021/29411330729489249/","40 E 72nd St, Unit 21B")</f>
        <v>40 E 72nd St, Unit 21B</v>
      </c>
      <c r="B2942" s="2" t="str">
        <f>HYPERLINK("https://www.compass.com/building/40-e-72nd-st-manhattan-ny-10021/281950881342095285/","40 E 72nd St")</f>
        <v>40 E 72nd St</v>
      </c>
      <c r="C2942" s="1" t="s">
        <v>53</v>
      </c>
      <c r="D2942" s="1" t="s">
        <v>41</v>
      </c>
      <c r="E2942" s="3">
        <v>1100000</v>
      </c>
      <c r="Q2942" s="1" t="s">
        <v>191</v>
      </c>
      <c r="S2942" s="1" t="s">
        <v>191</v>
      </c>
      <c r="T2942" s="1" t="s">
        <v>203</v>
      </c>
      <c r="AA2942" s="1">
        <v>1100000</v>
      </c>
      <c r="AB2942" s="1" t="s">
        <v>2329</v>
      </c>
      <c r="AC2942" s="5">
        <v>38518</v>
      </c>
      <c r="AF2942" s="1">
        <v>10021</v>
      </c>
      <c r="AI2942" s="1" t="s">
        <v>58</v>
      </c>
      <c r="AJ2942" s="1">
        <v>1930</v>
      </c>
      <c r="AK2942" s="1" t="s">
        <v>55</v>
      </c>
      <c r="AL2942" s="1">
        <v>6</v>
      </c>
    </row>
    <row r="2943" spans="1:38" x14ac:dyDescent="0.2">
      <c r="A2943" s="2" t="str">
        <f>HYPERLINK("https://www.compass.com/listing/184-east-64th-street-unit-a-manhattan-ny-10065/29412467939522481/","184 E 64th St, Unit A")</f>
        <v>184 E 64th St, Unit A</v>
      </c>
      <c r="B2943" s="2" t="str">
        <f t="shared" ref="B2943:B2944" si="448">HYPERLINK("https://www.compass.com/building/the-gianna-manhattan-ny/282037412736026565/","The Gianna")</f>
        <v>The Gianna</v>
      </c>
      <c r="C2943" s="1" t="s">
        <v>53</v>
      </c>
      <c r="D2943" s="1" t="s">
        <v>41</v>
      </c>
      <c r="E2943" s="3">
        <v>6528500</v>
      </c>
      <c r="Q2943" s="1" t="s">
        <v>42</v>
      </c>
      <c r="S2943" s="1" t="s">
        <v>42</v>
      </c>
      <c r="T2943" s="1" t="s">
        <v>203</v>
      </c>
      <c r="AA2943" s="1">
        <v>6528500</v>
      </c>
      <c r="AB2943" s="1" t="s">
        <v>2330</v>
      </c>
      <c r="AC2943" s="5">
        <v>41898</v>
      </c>
      <c r="AF2943" s="1">
        <v>10065</v>
      </c>
      <c r="AI2943" s="1" t="s">
        <v>73</v>
      </c>
      <c r="AJ2943" s="1">
        <v>2017</v>
      </c>
      <c r="AL2943" s="1">
        <v>5</v>
      </c>
    </row>
    <row r="2944" spans="1:38" x14ac:dyDescent="0.2">
      <c r="A2944" s="2" t="str">
        <f>HYPERLINK("https://www.compass.com/listing/184-east-64th-street-unit-a-manhattan-ny-10065/29412467939522497/","184 E 64th St, Unit A")</f>
        <v>184 E 64th St, Unit A</v>
      </c>
      <c r="B2944" s="2" t="str">
        <f t="shared" si="448"/>
        <v>The Gianna</v>
      </c>
      <c r="C2944" s="1" t="s">
        <v>53</v>
      </c>
      <c r="D2944" s="1" t="s">
        <v>41</v>
      </c>
      <c r="E2944" s="3">
        <v>7125000</v>
      </c>
      <c r="Q2944" s="1" t="s">
        <v>42</v>
      </c>
      <c r="S2944" s="1" t="s">
        <v>42</v>
      </c>
      <c r="T2944" s="1" t="s">
        <v>203</v>
      </c>
      <c r="AA2944" s="1">
        <v>7125000</v>
      </c>
      <c r="AB2944" s="1" t="s">
        <v>2331</v>
      </c>
      <c r="AC2944" s="5">
        <v>42153</v>
      </c>
      <c r="AF2944" s="1">
        <v>10065</v>
      </c>
      <c r="AI2944" s="1" t="s">
        <v>73</v>
      </c>
      <c r="AJ2944" s="1">
        <v>2017</v>
      </c>
      <c r="AL2944" s="1">
        <v>5</v>
      </c>
    </row>
    <row r="2945" spans="1:38" x14ac:dyDescent="0.2">
      <c r="A2945" s="2" t="str">
        <f>HYPERLINK("https://www.compass.com/listing/200-east-62nd-street-unit-res-manhattan-ny-10065/29413940089941937/","200 E 62nd St, Unit RES")</f>
        <v>200 E 62nd St, Unit RES</v>
      </c>
      <c r="B2945" s="2" t="str">
        <f>HYPERLINK("https://www.compass.com/building/200-e-62-manhattan-ny/282037506914928197/","200 E 62")</f>
        <v>200 E 62</v>
      </c>
      <c r="C2945" s="1" t="s">
        <v>53</v>
      </c>
      <c r="D2945" s="1" t="s">
        <v>41</v>
      </c>
      <c r="E2945" s="3">
        <v>5418363</v>
      </c>
      <c r="F2945" s="1">
        <v>1699.6119228356299</v>
      </c>
      <c r="M2945" s="4">
        <v>3188</v>
      </c>
      <c r="Q2945" s="1" t="s">
        <v>42</v>
      </c>
      <c r="S2945" s="1" t="s">
        <v>42</v>
      </c>
      <c r="T2945" s="1" t="s">
        <v>203</v>
      </c>
      <c r="AA2945" s="1">
        <v>5418362.8099999996</v>
      </c>
      <c r="AB2945" s="1" t="s">
        <v>2332</v>
      </c>
      <c r="AC2945" s="5">
        <v>42404</v>
      </c>
      <c r="AF2945" s="1">
        <v>10065</v>
      </c>
      <c r="AI2945" s="1" t="s">
        <v>156</v>
      </c>
      <c r="AJ2945" s="1">
        <v>1967</v>
      </c>
      <c r="AK2945" s="1" t="s">
        <v>50</v>
      </c>
      <c r="AL2945" s="1">
        <v>113</v>
      </c>
    </row>
    <row r="2946" spans="1:38" x14ac:dyDescent="0.2">
      <c r="A2946" s="2" t="str">
        <f>HYPERLINK("https://www.compass.com/listing/554-east-82nd-street-unit-1-manhattan-ny-10028/29425987749969697/","554 E 82nd St, Unit 1")</f>
        <v>554 E 82nd St, Unit 1</v>
      </c>
      <c r="B2946" s="2" t="str">
        <f>HYPERLINK("https://www.compass.com/building/554-e-82nd-st-manhattan-ny-10028/281987736842381013/","554 E 82nd St")</f>
        <v>554 E 82nd St</v>
      </c>
      <c r="C2946" s="1" t="s">
        <v>53</v>
      </c>
      <c r="D2946" s="1" t="s">
        <v>41</v>
      </c>
      <c r="E2946" s="3">
        <v>4500000</v>
      </c>
      <c r="F2946" s="1">
        <v>1706.48464163822</v>
      </c>
      <c r="M2946" s="4">
        <v>2637</v>
      </c>
      <c r="Q2946" s="1" t="s">
        <v>42</v>
      </c>
      <c r="S2946" s="1" t="s">
        <v>42</v>
      </c>
      <c r="T2946" s="1" t="s">
        <v>203</v>
      </c>
      <c r="AA2946" s="1">
        <v>4500000</v>
      </c>
      <c r="AB2946" s="1" t="s">
        <v>2333</v>
      </c>
      <c r="AC2946" s="5">
        <v>42314</v>
      </c>
      <c r="AF2946" s="1">
        <v>10028</v>
      </c>
      <c r="AI2946" s="1" t="s">
        <v>73</v>
      </c>
      <c r="AJ2946" s="1">
        <v>2015</v>
      </c>
      <c r="AK2946" s="1" t="s">
        <v>140</v>
      </c>
      <c r="AL2946" s="1">
        <v>4</v>
      </c>
    </row>
    <row r="2947" spans="1:38" x14ac:dyDescent="0.2">
      <c r="A2947" s="2" t="str">
        <f>HYPERLINK("https://www.compass.com/listing/1810-3rd-avenue-unit-2a-manhattan-ny-10029/29427578028741857/","1810 3rd Ave, Unit 2A")</f>
        <v>1810 3rd Ave, Unit 2A</v>
      </c>
      <c r="B2947" s="2" t="str">
        <f t="shared" ref="B2947:B2985" si="449">HYPERLINK("https://www.compass.com/building/the-art-house-condominiums-manhattan-ny/281989881993998229/","The Art House Condominiums")</f>
        <v>The Art House Condominiums</v>
      </c>
      <c r="C2947" s="1" t="s">
        <v>82</v>
      </c>
      <c r="D2947" s="1" t="s">
        <v>41</v>
      </c>
      <c r="E2947" s="3">
        <v>595000</v>
      </c>
      <c r="F2947" s="1">
        <v>724.72594397076705</v>
      </c>
      <c r="M2947" s="1">
        <v>821</v>
      </c>
      <c r="Q2947" s="1" t="s">
        <v>42</v>
      </c>
      <c r="S2947" s="1" t="s">
        <v>42</v>
      </c>
      <c r="T2947" s="1" t="s">
        <v>203</v>
      </c>
      <c r="AA2947" s="1">
        <v>595000</v>
      </c>
      <c r="AB2947" s="1" t="s">
        <v>2334</v>
      </c>
      <c r="AC2947" s="5">
        <v>42794</v>
      </c>
      <c r="AF2947" s="1">
        <v>10029</v>
      </c>
      <c r="AI2947" s="1" t="s">
        <v>76</v>
      </c>
      <c r="AJ2947" s="1">
        <v>2008</v>
      </c>
      <c r="AK2947" s="1" t="s">
        <v>55</v>
      </c>
      <c r="AL2947" s="1">
        <v>76</v>
      </c>
    </row>
    <row r="2948" spans="1:38" x14ac:dyDescent="0.2">
      <c r="A2948" s="2" t="str">
        <f>HYPERLINK("https://www.compass.com/listing/1810-3rd-avenue-unit-2b-manhattan-ny-10029/29427578339184369/","1810 3rd Ave, Unit 2B")</f>
        <v>1810 3rd Ave, Unit 2B</v>
      </c>
      <c r="B2948" s="2" t="str">
        <f t="shared" si="449"/>
        <v>The Art House Condominiums</v>
      </c>
      <c r="C2948" s="1" t="s">
        <v>82</v>
      </c>
      <c r="D2948" s="1" t="s">
        <v>41</v>
      </c>
      <c r="E2948" s="3">
        <v>545000</v>
      </c>
      <c r="F2948" s="1">
        <v>663.82460414129105</v>
      </c>
      <c r="M2948" s="1">
        <v>821</v>
      </c>
      <c r="Q2948" s="1" t="s">
        <v>42</v>
      </c>
      <c r="S2948" s="1" t="s">
        <v>42</v>
      </c>
      <c r="T2948" s="1" t="s">
        <v>203</v>
      </c>
      <c r="AA2948" s="1">
        <v>545000</v>
      </c>
      <c r="AB2948" s="1" t="s">
        <v>2335</v>
      </c>
      <c r="AC2948" s="5">
        <v>42615</v>
      </c>
      <c r="AF2948" s="1">
        <v>10029</v>
      </c>
      <c r="AI2948" s="1" t="s">
        <v>76</v>
      </c>
      <c r="AJ2948" s="1">
        <v>2008</v>
      </c>
      <c r="AK2948" s="1" t="s">
        <v>55</v>
      </c>
      <c r="AL2948" s="1">
        <v>76</v>
      </c>
    </row>
    <row r="2949" spans="1:38" x14ac:dyDescent="0.2">
      <c r="A2949" s="2" t="str">
        <f>HYPERLINK("https://www.compass.com/listing/1810-3rd-avenue-unit-2c-manhattan-ny-10029/29427578657874497/","1810 3rd Ave, Unit 2C")</f>
        <v>1810 3rd Ave, Unit 2C</v>
      </c>
      <c r="B2949" s="2" t="str">
        <f t="shared" si="449"/>
        <v>The Art House Condominiums</v>
      </c>
      <c r="C2949" s="1" t="s">
        <v>82</v>
      </c>
      <c r="D2949" s="1" t="s">
        <v>41</v>
      </c>
      <c r="E2949" s="3">
        <v>680000</v>
      </c>
      <c r="F2949" s="1">
        <v>900.66225165562901</v>
      </c>
      <c r="M2949" s="1">
        <v>755</v>
      </c>
      <c r="Q2949" s="1" t="s">
        <v>42</v>
      </c>
      <c r="S2949" s="1" t="s">
        <v>42</v>
      </c>
      <c r="T2949" s="1" t="s">
        <v>203</v>
      </c>
      <c r="AA2949" s="1">
        <v>680000</v>
      </c>
      <c r="AB2949" s="1" t="s">
        <v>2336</v>
      </c>
      <c r="AC2949" s="5">
        <v>42542</v>
      </c>
      <c r="AF2949" s="1">
        <v>10029</v>
      </c>
      <c r="AI2949" s="1" t="s">
        <v>76</v>
      </c>
      <c r="AJ2949" s="1">
        <v>2008</v>
      </c>
      <c r="AK2949" s="1" t="s">
        <v>55</v>
      </c>
      <c r="AL2949" s="1">
        <v>76</v>
      </c>
    </row>
    <row r="2950" spans="1:38" x14ac:dyDescent="0.2">
      <c r="A2950" s="2" t="str">
        <f>HYPERLINK("https://www.compass.com/listing/1810-3rd-avenue-unit-3a-manhattan-ny-10029/29427580838912609/","1810 3rd Ave, Unit 3A")</f>
        <v>1810 3rd Ave, Unit 3A</v>
      </c>
      <c r="B2950" s="2" t="str">
        <f t="shared" si="449"/>
        <v>The Art House Condominiums</v>
      </c>
      <c r="C2950" s="1" t="s">
        <v>82</v>
      </c>
      <c r="D2950" s="1" t="s">
        <v>41</v>
      </c>
      <c r="E2950" s="3">
        <v>560038</v>
      </c>
      <c r="F2950" s="1">
        <v>861.59615384615302</v>
      </c>
      <c r="M2950" s="1">
        <v>650</v>
      </c>
      <c r="Q2950" s="1" t="s">
        <v>42</v>
      </c>
      <c r="S2950" s="1" t="s">
        <v>42</v>
      </c>
      <c r="T2950" s="1" t="s">
        <v>203</v>
      </c>
      <c r="AA2950" s="1">
        <v>560037.5</v>
      </c>
      <c r="AB2950" s="1" t="s">
        <v>2337</v>
      </c>
      <c r="AC2950" s="5">
        <v>42527</v>
      </c>
      <c r="AF2950" s="1">
        <v>10029</v>
      </c>
      <c r="AI2950" s="1" t="s">
        <v>76</v>
      </c>
      <c r="AJ2950" s="1">
        <v>2008</v>
      </c>
      <c r="AK2950" s="1" t="s">
        <v>55</v>
      </c>
      <c r="AL2950" s="1">
        <v>76</v>
      </c>
    </row>
    <row r="2951" spans="1:38" x14ac:dyDescent="0.2">
      <c r="A2951" s="2" t="str">
        <f>HYPERLINK("https://www.compass.com/listing/1810-3rd-avenue-unit-3b-manhattan-ny-10029/29427581124138273/","1810 3rd Ave, Unit 3B")</f>
        <v>1810 3rd Ave, Unit 3B</v>
      </c>
      <c r="B2951" s="2" t="str">
        <f t="shared" si="449"/>
        <v>The Art House Condominiums</v>
      </c>
      <c r="C2951" s="1" t="s">
        <v>82</v>
      </c>
      <c r="D2951" s="1" t="s">
        <v>41</v>
      </c>
      <c r="E2951" s="3">
        <v>550000</v>
      </c>
      <c r="F2951" s="1">
        <v>846.15384615384596</v>
      </c>
      <c r="M2951" s="1">
        <v>650</v>
      </c>
      <c r="Q2951" s="1" t="s">
        <v>42</v>
      </c>
      <c r="S2951" s="1" t="s">
        <v>42</v>
      </c>
      <c r="T2951" s="1" t="s">
        <v>203</v>
      </c>
      <c r="AA2951" s="1">
        <v>550000</v>
      </c>
      <c r="AB2951" s="1" t="s">
        <v>2338</v>
      </c>
      <c r="AC2951" s="5">
        <v>42872</v>
      </c>
      <c r="AF2951" s="1">
        <v>10029</v>
      </c>
      <c r="AI2951" s="1" t="s">
        <v>76</v>
      </c>
      <c r="AJ2951" s="1">
        <v>2008</v>
      </c>
      <c r="AK2951" s="1" t="s">
        <v>55</v>
      </c>
      <c r="AL2951" s="1">
        <v>76</v>
      </c>
    </row>
    <row r="2952" spans="1:38" x14ac:dyDescent="0.2">
      <c r="A2952" s="2" t="str">
        <f>HYPERLINK("https://www.compass.com/listing/1810-3rd-avenue-unit-3d-manhattan-ny-10029/29427581904265841/","1810 3rd Ave, Unit 3D")</f>
        <v>1810 3rd Ave, Unit 3D</v>
      </c>
      <c r="B2952" s="2" t="str">
        <f t="shared" si="449"/>
        <v>The Art House Condominiums</v>
      </c>
      <c r="C2952" s="1" t="s">
        <v>82</v>
      </c>
      <c r="D2952" s="1" t="s">
        <v>41</v>
      </c>
      <c r="E2952" s="3">
        <v>696483</v>
      </c>
      <c r="F2952" s="1">
        <v>922.49403973509902</v>
      </c>
      <c r="M2952" s="1">
        <v>755</v>
      </c>
      <c r="Q2952" s="1" t="s">
        <v>42</v>
      </c>
      <c r="S2952" s="1" t="s">
        <v>42</v>
      </c>
      <c r="T2952" s="1" t="s">
        <v>203</v>
      </c>
      <c r="AA2952" s="1">
        <v>696483</v>
      </c>
      <c r="AB2952" s="1" t="s">
        <v>2339</v>
      </c>
      <c r="AC2952" s="5">
        <v>42570</v>
      </c>
      <c r="AF2952" s="1">
        <v>10029</v>
      </c>
      <c r="AI2952" s="1" t="s">
        <v>76</v>
      </c>
      <c r="AJ2952" s="1">
        <v>2008</v>
      </c>
      <c r="AK2952" s="1" t="s">
        <v>55</v>
      </c>
      <c r="AL2952" s="1">
        <v>76</v>
      </c>
    </row>
    <row r="2953" spans="1:38" x14ac:dyDescent="0.2">
      <c r="A2953" s="2" t="str">
        <f>HYPERLINK("https://www.compass.com/listing/1810-3rd-avenue-unit-4a-manhattan-ny-10029/29427583582064481/","1810 3rd Ave, Unit 4A")</f>
        <v>1810 3rd Ave, Unit 4A</v>
      </c>
      <c r="B2953" s="2" t="str">
        <f t="shared" si="449"/>
        <v>The Art House Condominiums</v>
      </c>
      <c r="C2953" s="1" t="s">
        <v>82</v>
      </c>
      <c r="D2953" s="1" t="s">
        <v>41</v>
      </c>
      <c r="E2953" s="3">
        <v>580000</v>
      </c>
      <c r="F2953" s="1">
        <v>892.30769230769204</v>
      </c>
      <c r="M2953" s="1">
        <v>650</v>
      </c>
      <c r="Q2953" s="1" t="s">
        <v>42</v>
      </c>
      <c r="S2953" s="1" t="s">
        <v>42</v>
      </c>
      <c r="T2953" s="1" t="s">
        <v>203</v>
      </c>
      <c r="AA2953" s="1">
        <v>580000</v>
      </c>
      <c r="AB2953" s="1" t="s">
        <v>2340</v>
      </c>
      <c r="AC2953" s="5">
        <v>42871</v>
      </c>
      <c r="AF2953" s="1">
        <v>10029</v>
      </c>
      <c r="AI2953" s="1" t="s">
        <v>76</v>
      </c>
      <c r="AJ2953" s="1">
        <v>2008</v>
      </c>
      <c r="AK2953" s="1" t="s">
        <v>55</v>
      </c>
      <c r="AL2953" s="1">
        <v>76</v>
      </c>
    </row>
    <row r="2954" spans="1:38" x14ac:dyDescent="0.2">
      <c r="A2954" s="2" t="str">
        <f>HYPERLINK("https://www.compass.com/listing/1810-3rd-avenue-unit-4b-manhattan-ny-10029/29427583892365969/","1810 3rd Ave, Unit 4B")</f>
        <v>1810 3rd Ave, Unit 4B</v>
      </c>
      <c r="B2954" s="2" t="str">
        <f t="shared" si="449"/>
        <v>The Art House Condominiums</v>
      </c>
      <c r="C2954" s="1" t="s">
        <v>82</v>
      </c>
      <c r="D2954" s="1" t="s">
        <v>41</v>
      </c>
      <c r="E2954" s="3">
        <v>575500</v>
      </c>
      <c r="F2954" s="1">
        <v>885.38461538461502</v>
      </c>
      <c r="M2954" s="1">
        <v>650</v>
      </c>
      <c r="Q2954" s="1" t="s">
        <v>42</v>
      </c>
      <c r="S2954" s="1" t="s">
        <v>42</v>
      </c>
      <c r="T2954" s="1" t="s">
        <v>203</v>
      </c>
      <c r="AA2954" s="1">
        <v>575500</v>
      </c>
      <c r="AB2954" s="1" t="s">
        <v>2341</v>
      </c>
      <c r="AC2954" s="5">
        <v>42573</v>
      </c>
      <c r="AF2954" s="1">
        <v>10029</v>
      </c>
      <c r="AI2954" s="1" t="s">
        <v>76</v>
      </c>
      <c r="AJ2954" s="1">
        <v>2008</v>
      </c>
      <c r="AK2954" s="1" t="s">
        <v>55</v>
      </c>
      <c r="AL2954" s="1">
        <v>76</v>
      </c>
    </row>
    <row r="2955" spans="1:38" x14ac:dyDescent="0.2">
      <c r="A2955" s="2" t="str">
        <f>HYPERLINK("https://www.compass.com/listing/1810-3rd-avenue-unit-4c-manhattan-ny-10029/29427584336975185/","1810 3rd Ave, Unit 4C")</f>
        <v>1810 3rd Ave, Unit 4C</v>
      </c>
      <c r="B2955" s="2" t="str">
        <f t="shared" si="449"/>
        <v>The Art House Condominiums</v>
      </c>
      <c r="C2955" s="1" t="s">
        <v>82</v>
      </c>
      <c r="D2955" s="1" t="s">
        <v>41</v>
      </c>
      <c r="E2955" s="3">
        <v>695000</v>
      </c>
      <c r="F2955" s="1">
        <v>920.52980132450296</v>
      </c>
      <c r="M2955" s="1">
        <v>755</v>
      </c>
      <c r="Q2955" s="1" t="s">
        <v>42</v>
      </c>
      <c r="S2955" s="1" t="s">
        <v>42</v>
      </c>
      <c r="T2955" s="1" t="s">
        <v>203</v>
      </c>
      <c r="AA2955" s="1">
        <v>695000</v>
      </c>
      <c r="AB2955" s="1" t="s">
        <v>2342</v>
      </c>
      <c r="AC2955" s="5">
        <v>42599</v>
      </c>
      <c r="AF2955" s="1">
        <v>10029</v>
      </c>
      <c r="AI2955" s="1" t="s">
        <v>76</v>
      </c>
      <c r="AJ2955" s="1">
        <v>2008</v>
      </c>
      <c r="AK2955" s="1" t="s">
        <v>55</v>
      </c>
      <c r="AL2955" s="1">
        <v>76</v>
      </c>
    </row>
    <row r="2956" spans="1:38" x14ac:dyDescent="0.2">
      <c r="A2956" s="2" t="str">
        <f>HYPERLINK("https://www.compass.com/listing/1810-3rd-avenue-unit-5a-manhattan-ny-10029/29427586425738609/","1810 3rd Ave, Unit 5A")</f>
        <v>1810 3rd Ave, Unit 5A</v>
      </c>
      <c r="B2956" s="2" t="str">
        <f t="shared" si="449"/>
        <v>The Art House Condominiums</v>
      </c>
      <c r="C2956" s="1" t="s">
        <v>82</v>
      </c>
      <c r="D2956" s="1" t="s">
        <v>41</v>
      </c>
      <c r="E2956" s="3">
        <v>619335</v>
      </c>
      <c r="F2956" s="1">
        <v>952.82358461538399</v>
      </c>
      <c r="M2956" s="1">
        <v>650</v>
      </c>
      <c r="Q2956" s="1" t="s">
        <v>42</v>
      </c>
      <c r="S2956" s="1" t="s">
        <v>42</v>
      </c>
      <c r="T2956" s="1" t="s">
        <v>203</v>
      </c>
      <c r="AA2956" s="1">
        <v>619335.32999999996</v>
      </c>
      <c r="AB2956" s="1" t="s">
        <v>2343</v>
      </c>
      <c r="AC2956" s="5">
        <v>42599</v>
      </c>
      <c r="AF2956" s="1">
        <v>10029</v>
      </c>
      <c r="AI2956" s="1" t="s">
        <v>76</v>
      </c>
      <c r="AJ2956" s="1">
        <v>2008</v>
      </c>
      <c r="AK2956" s="1" t="s">
        <v>55</v>
      </c>
      <c r="AL2956" s="1">
        <v>76</v>
      </c>
    </row>
    <row r="2957" spans="1:38" x14ac:dyDescent="0.2">
      <c r="A2957" s="2" t="str">
        <f>HYPERLINK("https://www.compass.com/listing/1810-3rd-avenue-unit-5b-manhattan-ny-10029/29427586752958369/","1810 3rd Ave, Unit 5B")</f>
        <v>1810 3rd Ave, Unit 5B</v>
      </c>
      <c r="B2957" s="2" t="str">
        <f t="shared" si="449"/>
        <v>The Art House Condominiums</v>
      </c>
      <c r="C2957" s="1" t="s">
        <v>82</v>
      </c>
      <c r="D2957" s="1" t="s">
        <v>41</v>
      </c>
      <c r="E2957" s="3">
        <v>570220</v>
      </c>
      <c r="F2957" s="1">
        <v>877.26153846153795</v>
      </c>
      <c r="M2957" s="1">
        <v>650</v>
      </c>
      <c r="Q2957" s="1" t="s">
        <v>42</v>
      </c>
      <c r="S2957" s="1" t="s">
        <v>42</v>
      </c>
      <c r="T2957" s="1" t="s">
        <v>203</v>
      </c>
      <c r="AA2957" s="1">
        <v>570220</v>
      </c>
      <c r="AB2957" s="1" t="s">
        <v>2344</v>
      </c>
      <c r="AC2957" s="5">
        <v>42823</v>
      </c>
      <c r="AF2957" s="1">
        <v>10029</v>
      </c>
      <c r="AI2957" s="1" t="s">
        <v>76</v>
      </c>
      <c r="AJ2957" s="1">
        <v>2008</v>
      </c>
      <c r="AK2957" s="1" t="s">
        <v>55</v>
      </c>
      <c r="AL2957" s="1">
        <v>76</v>
      </c>
    </row>
    <row r="2958" spans="1:38" x14ac:dyDescent="0.2">
      <c r="A2958" s="2" t="str">
        <f>HYPERLINK("https://www.compass.com/listing/1810-3rd-avenue-unit-5d-manhattan-ny-10029/29427587423982977/","1810 3rd Ave, Unit 5D")</f>
        <v>1810 3rd Ave, Unit 5D</v>
      </c>
      <c r="B2958" s="2" t="str">
        <f t="shared" si="449"/>
        <v>The Art House Condominiums</v>
      </c>
      <c r="C2958" s="1" t="s">
        <v>82</v>
      </c>
      <c r="D2958" s="1" t="s">
        <v>41</v>
      </c>
      <c r="E2958" s="3">
        <v>690000</v>
      </c>
      <c r="F2958" s="1">
        <v>913.90728476821096</v>
      </c>
      <c r="M2958" s="1">
        <v>755</v>
      </c>
      <c r="Q2958" s="1" t="s">
        <v>42</v>
      </c>
      <c r="S2958" s="1" t="s">
        <v>42</v>
      </c>
      <c r="T2958" s="1" t="s">
        <v>203</v>
      </c>
      <c r="AA2958" s="1">
        <v>690000</v>
      </c>
      <c r="AB2958" s="1" t="s">
        <v>2345</v>
      </c>
      <c r="AC2958" s="5">
        <v>42538</v>
      </c>
      <c r="AF2958" s="1">
        <v>10029</v>
      </c>
      <c r="AI2958" s="1" t="s">
        <v>76</v>
      </c>
      <c r="AJ2958" s="1">
        <v>2008</v>
      </c>
      <c r="AK2958" s="1" t="s">
        <v>55</v>
      </c>
      <c r="AL2958" s="1">
        <v>76</v>
      </c>
    </row>
    <row r="2959" spans="1:38" x14ac:dyDescent="0.2">
      <c r="A2959" s="2" t="str">
        <f>HYPERLINK("https://www.compass.com/listing/1810-3rd-avenue-unit-6a-manhattan-ny-10029/29427588942308065/","1810 3rd Ave, Unit 6A")</f>
        <v>1810 3rd Ave, Unit 6A</v>
      </c>
      <c r="B2959" s="2" t="str">
        <f t="shared" si="449"/>
        <v>The Art House Condominiums</v>
      </c>
      <c r="C2959" s="1" t="s">
        <v>82</v>
      </c>
      <c r="D2959" s="1" t="s">
        <v>41</v>
      </c>
      <c r="E2959" s="3">
        <v>550875</v>
      </c>
      <c r="F2959" s="1">
        <v>847.5</v>
      </c>
      <c r="M2959" s="1">
        <v>650</v>
      </c>
      <c r="Q2959" s="1" t="s">
        <v>42</v>
      </c>
      <c r="S2959" s="1" t="s">
        <v>42</v>
      </c>
      <c r="T2959" s="1" t="s">
        <v>203</v>
      </c>
      <c r="AA2959" s="1">
        <v>550875</v>
      </c>
      <c r="AB2959" s="1" t="s">
        <v>2346</v>
      </c>
      <c r="AC2959" s="5">
        <v>42719</v>
      </c>
      <c r="AF2959" s="1">
        <v>10029</v>
      </c>
      <c r="AI2959" s="1" t="s">
        <v>76</v>
      </c>
      <c r="AJ2959" s="1">
        <v>2008</v>
      </c>
      <c r="AK2959" s="1" t="s">
        <v>55</v>
      </c>
      <c r="AL2959" s="1">
        <v>76</v>
      </c>
    </row>
    <row r="2960" spans="1:38" x14ac:dyDescent="0.2">
      <c r="A2960" s="2" t="str">
        <f>HYPERLINK("https://www.compass.com/listing/1810-3rd-avenue-unit-6b-manhattan-ny-10029/29427589252699553/","1810 3rd Ave, Unit 6B")</f>
        <v>1810 3rd Ave, Unit 6B</v>
      </c>
      <c r="B2960" s="2" t="str">
        <f t="shared" si="449"/>
        <v>The Art House Condominiums</v>
      </c>
      <c r="C2960" s="1" t="s">
        <v>82</v>
      </c>
      <c r="D2960" s="1" t="s">
        <v>41</v>
      </c>
      <c r="E2960" s="3">
        <v>560000</v>
      </c>
      <c r="F2960" s="1">
        <v>861.53846153846098</v>
      </c>
      <c r="M2960" s="1">
        <v>650</v>
      </c>
      <c r="Q2960" s="1" t="s">
        <v>42</v>
      </c>
      <c r="S2960" s="1" t="s">
        <v>42</v>
      </c>
      <c r="T2960" s="1" t="s">
        <v>203</v>
      </c>
      <c r="AA2960" s="1">
        <v>560000</v>
      </c>
      <c r="AB2960" s="1" t="s">
        <v>2347</v>
      </c>
      <c r="AC2960" s="5">
        <v>42611</v>
      </c>
      <c r="AF2960" s="1">
        <v>10029</v>
      </c>
      <c r="AI2960" s="1" t="s">
        <v>76</v>
      </c>
      <c r="AJ2960" s="1">
        <v>2008</v>
      </c>
      <c r="AK2960" s="1" t="s">
        <v>55</v>
      </c>
      <c r="AL2960" s="1">
        <v>76</v>
      </c>
    </row>
    <row r="2961" spans="1:38" x14ac:dyDescent="0.2">
      <c r="A2961" s="2" t="str">
        <f>HYPERLINK("https://www.compass.com/listing/1810-3rd-avenue-unit-6c-manhattan-ny-10029/29427589571530705/","1810 3rd Ave, Unit 6C")</f>
        <v>1810 3rd Ave, Unit 6C</v>
      </c>
      <c r="B2961" s="2" t="str">
        <f t="shared" si="449"/>
        <v>The Art House Condominiums</v>
      </c>
      <c r="C2961" s="1" t="s">
        <v>82</v>
      </c>
      <c r="D2961" s="1" t="s">
        <v>41</v>
      </c>
      <c r="E2961" s="3">
        <v>722958</v>
      </c>
      <c r="F2961" s="1">
        <v>957.55960264900602</v>
      </c>
      <c r="M2961" s="1">
        <v>755</v>
      </c>
      <c r="Q2961" s="1" t="s">
        <v>42</v>
      </c>
      <c r="S2961" s="1" t="s">
        <v>42</v>
      </c>
      <c r="T2961" s="1" t="s">
        <v>203</v>
      </c>
      <c r="AA2961" s="1">
        <v>722957.5</v>
      </c>
      <c r="AB2961" s="1" t="s">
        <v>2348</v>
      </c>
      <c r="AC2961" s="5">
        <v>42614</v>
      </c>
      <c r="AF2961" s="1">
        <v>10029</v>
      </c>
      <c r="AI2961" s="1" t="s">
        <v>76</v>
      </c>
      <c r="AJ2961" s="1">
        <v>2008</v>
      </c>
      <c r="AK2961" s="1" t="s">
        <v>55</v>
      </c>
      <c r="AL2961" s="1">
        <v>76</v>
      </c>
    </row>
    <row r="2962" spans="1:38" x14ac:dyDescent="0.2">
      <c r="A2962" s="2" t="str">
        <f>HYPERLINK("https://www.compass.com/listing/1810-3rd-avenue-unit-6d-manhattan-ny-10029/29427589898609393/","1810 3rd Ave, Unit 6D")</f>
        <v>1810 3rd Ave, Unit 6D</v>
      </c>
      <c r="B2962" s="2" t="str">
        <f t="shared" si="449"/>
        <v>The Art House Condominiums</v>
      </c>
      <c r="C2962" s="1" t="s">
        <v>82</v>
      </c>
      <c r="D2962" s="1" t="s">
        <v>41</v>
      </c>
      <c r="E2962" s="3">
        <v>660000</v>
      </c>
      <c r="F2962" s="1">
        <v>874.17218543046295</v>
      </c>
      <c r="M2962" s="1">
        <v>755</v>
      </c>
      <c r="Q2962" s="1" t="s">
        <v>42</v>
      </c>
      <c r="S2962" s="1" t="s">
        <v>42</v>
      </c>
      <c r="T2962" s="1" t="s">
        <v>203</v>
      </c>
      <c r="AA2962" s="1">
        <v>660000</v>
      </c>
      <c r="AB2962" s="1" t="s">
        <v>2349</v>
      </c>
      <c r="AC2962" s="5">
        <v>42584</v>
      </c>
      <c r="AF2962" s="1">
        <v>10029</v>
      </c>
      <c r="AI2962" s="1" t="s">
        <v>76</v>
      </c>
      <c r="AJ2962" s="1">
        <v>2008</v>
      </c>
      <c r="AK2962" s="1" t="s">
        <v>55</v>
      </c>
      <c r="AL2962" s="1">
        <v>76</v>
      </c>
    </row>
    <row r="2963" spans="1:38" x14ac:dyDescent="0.2">
      <c r="A2963" s="2" t="str">
        <f>HYPERLINK("https://www.compass.com/listing/1810-3rd-avenue-unit-7a-manhattan-ny-10029/29427591467356145/","1810 3rd Ave, Unit 7A")</f>
        <v>1810 3rd Ave, Unit 7A</v>
      </c>
      <c r="B2963" s="2" t="str">
        <f t="shared" si="449"/>
        <v>The Art House Condominiums</v>
      </c>
      <c r="C2963" s="1" t="s">
        <v>82</v>
      </c>
      <c r="D2963" s="1" t="s">
        <v>41</v>
      </c>
      <c r="E2963" s="3">
        <v>595000</v>
      </c>
      <c r="F2963" s="1">
        <v>915.38461538461502</v>
      </c>
      <c r="M2963" s="1">
        <v>650</v>
      </c>
      <c r="Q2963" s="1" t="s">
        <v>42</v>
      </c>
      <c r="S2963" s="1" t="s">
        <v>42</v>
      </c>
      <c r="T2963" s="1" t="s">
        <v>203</v>
      </c>
      <c r="AA2963" s="1">
        <v>595000</v>
      </c>
      <c r="AB2963" s="1" t="s">
        <v>2350</v>
      </c>
      <c r="AC2963" s="5">
        <v>42845</v>
      </c>
      <c r="AF2963" s="1">
        <v>10029</v>
      </c>
      <c r="AI2963" s="1" t="s">
        <v>76</v>
      </c>
      <c r="AJ2963" s="1">
        <v>2008</v>
      </c>
      <c r="AK2963" s="1" t="s">
        <v>55</v>
      </c>
      <c r="AL2963" s="1">
        <v>76</v>
      </c>
    </row>
    <row r="2964" spans="1:38" x14ac:dyDescent="0.2">
      <c r="A2964" s="2" t="str">
        <f>HYPERLINK("https://www.compass.com/listing/1810-3rd-avenue-unit-7b-manhattan-ny-10029/29427591777657617/","1810 3rd Ave, Unit 7B")</f>
        <v>1810 3rd Ave, Unit 7B</v>
      </c>
      <c r="B2964" s="2" t="str">
        <f t="shared" si="449"/>
        <v>The Art House Condominiums</v>
      </c>
      <c r="C2964" s="1" t="s">
        <v>82</v>
      </c>
      <c r="D2964" s="1" t="s">
        <v>41</v>
      </c>
      <c r="E2964" s="3">
        <v>672948</v>
      </c>
      <c r="F2964" s="1">
        <v>1035.30492307692</v>
      </c>
      <c r="M2964" s="1">
        <v>650</v>
      </c>
      <c r="Q2964" s="1" t="s">
        <v>42</v>
      </c>
      <c r="S2964" s="1" t="s">
        <v>42</v>
      </c>
      <c r="T2964" s="1" t="s">
        <v>203</v>
      </c>
      <c r="AA2964" s="1">
        <v>672948.2</v>
      </c>
      <c r="AB2964" s="1" t="s">
        <v>2351</v>
      </c>
      <c r="AC2964" s="5">
        <v>42564</v>
      </c>
      <c r="AF2964" s="1">
        <v>10029</v>
      </c>
      <c r="AI2964" s="1" t="s">
        <v>76</v>
      </c>
      <c r="AJ2964" s="1">
        <v>2008</v>
      </c>
      <c r="AK2964" s="1" t="s">
        <v>55</v>
      </c>
      <c r="AL2964" s="1">
        <v>76</v>
      </c>
    </row>
    <row r="2965" spans="1:38" x14ac:dyDescent="0.2">
      <c r="A2965" s="2" t="str">
        <f>HYPERLINK("https://www.compass.com/listing/1810-3rd-avenue-unit-7c-manhattan-ny-10029/29427592104826321/","1810 3rd Ave, Unit 7C")</f>
        <v>1810 3rd Ave, Unit 7C</v>
      </c>
      <c r="B2965" s="2" t="str">
        <f t="shared" si="449"/>
        <v>The Art House Condominiums</v>
      </c>
      <c r="C2965" s="1" t="s">
        <v>82</v>
      </c>
      <c r="D2965" s="1" t="s">
        <v>41</v>
      </c>
      <c r="E2965" s="3">
        <v>702500</v>
      </c>
      <c r="F2965" s="1">
        <v>930.46357615893999</v>
      </c>
      <c r="M2965" s="1">
        <v>755</v>
      </c>
      <c r="Q2965" s="1" t="s">
        <v>42</v>
      </c>
      <c r="S2965" s="1" t="s">
        <v>42</v>
      </c>
      <c r="T2965" s="1" t="s">
        <v>203</v>
      </c>
      <c r="AA2965" s="1">
        <v>702500</v>
      </c>
      <c r="AB2965" s="1" t="s">
        <v>2352</v>
      </c>
      <c r="AC2965" s="5">
        <v>42571</v>
      </c>
      <c r="AF2965" s="1">
        <v>10029</v>
      </c>
      <c r="AI2965" s="1" t="s">
        <v>76</v>
      </c>
      <c r="AJ2965" s="1">
        <v>2008</v>
      </c>
      <c r="AK2965" s="1" t="s">
        <v>55</v>
      </c>
      <c r="AL2965" s="1">
        <v>76</v>
      </c>
    </row>
    <row r="2966" spans="1:38" x14ac:dyDescent="0.2">
      <c r="A2966" s="2" t="str">
        <f>HYPERLINK("https://www.compass.com/listing/1810-3rd-avenue-unit-7d-manhattan-ny-10029/29427592440434689/","1810 3rd Ave, Unit 7D")</f>
        <v>1810 3rd Ave, Unit 7D</v>
      </c>
      <c r="B2966" s="2" t="str">
        <f t="shared" si="449"/>
        <v>The Art House Condominiums</v>
      </c>
      <c r="C2966" s="1" t="s">
        <v>82</v>
      </c>
      <c r="D2966" s="1" t="s">
        <v>41</v>
      </c>
      <c r="E2966" s="3">
        <v>725000</v>
      </c>
      <c r="F2966" s="1">
        <v>960.26490066225097</v>
      </c>
      <c r="M2966" s="1">
        <v>755</v>
      </c>
      <c r="Q2966" s="1" t="s">
        <v>42</v>
      </c>
      <c r="S2966" s="1" t="s">
        <v>42</v>
      </c>
      <c r="T2966" s="1" t="s">
        <v>203</v>
      </c>
      <c r="AA2966" s="1">
        <v>725000</v>
      </c>
      <c r="AB2966" s="1" t="s">
        <v>2353</v>
      </c>
      <c r="AC2966" s="5">
        <v>42515</v>
      </c>
      <c r="AF2966" s="1">
        <v>10029</v>
      </c>
      <c r="AI2966" s="1" t="s">
        <v>76</v>
      </c>
      <c r="AJ2966" s="1">
        <v>2008</v>
      </c>
      <c r="AK2966" s="1" t="s">
        <v>55</v>
      </c>
      <c r="AL2966" s="1">
        <v>76</v>
      </c>
    </row>
    <row r="2967" spans="1:38" x14ac:dyDescent="0.2">
      <c r="A2967" s="2" t="str">
        <f>HYPERLINK("https://www.compass.com/listing/1810-3rd-avenue-unit-8a-manhattan-ny-10029/29427593983874545/","1810 3rd Ave, Unit 8A")</f>
        <v>1810 3rd Ave, Unit 8A</v>
      </c>
      <c r="B2967" s="2" t="str">
        <f t="shared" si="449"/>
        <v>The Art House Condominiums</v>
      </c>
      <c r="C2967" s="1" t="s">
        <v>82</v>
      </c>
      <c r="D2967" s="1" t="s">
        <v>41</v>
      </c>
      <c r="E2967" s="3">
        <v>566000</v>
      </c>
      <c r="F2967" s="1">
        <v>870.76923076923003</v>
      </c>
      <c r="M2967" s="1">
        <v>650</v>
      </c>
      <c r="Q2967" s="1" t="s">
        <v>42</v>
      </c>
      <c r="S2967" s="1" t="s">
        <v>42</v>
      </c>
      <c r="T2967" s="1" t="s">
        <v>203</v>
      </c>
      <c r="AA2967" s="1">
        <v>566000</v>
      </c>
      <c r="AB2967" s="1" t="s">
        <v>2354</v>
      </c>
      <c r="AC2967" s="5">
        <v>42569</v>
      </c>
      <c r="AF2967" s="1">
        <v>10029</v>
      </c>
      <c r="AI2967" s="1" t="s">
        <v>76</v>
      </c>
      <c r="AJ2967" s="1">
        <v>2008</v>
      </c>
      <c r="AK2967" s="1" t="s">
        <v>55</v>
      </c>
      <c r="AL2967" s="1">
        <v>76</v>
      </c>
    </row>
    <row r="2968" spans="1:38" x14ac:dyDescent="0.2">
      <c r="A2968" s="2" t="str">
        <f>HYPERLINK("https://www.compass.com/listing/1810-3rd-avenue-unit-8b-manhattan-ny-10029/29427594285928481/","1810 3rd Ave, Unit 8B")</f>
        <v>1810 3rd Ave, Unit 8B</v>
      </c>
      <c r="B2968" s="2" t="str">
        <f t="shared" si="449"/>
        <v>The Art House Condominiums</v>
      </c>
      <c r="C2968" s="1" t="s">
        <v>82</v>
      </c>
      <c r="D2968" s="1" t="s">
        <v>41</v>
      </c>
      <c r="E2968" s="3">
        <v>585293</v>
      </c>
      <c r="F2968" s="1">
        <v>900.45</v>
      </c>
      <c r="M2968" s="1">
        <v>650</v>
      </c>
      <c r="Q2968" s="1" t="s">
        <v>42</v>
      </c>
      <c r="S2968" s="1" t="s">
        <v>42</v>
      </c>
      <c r="T2968" s="1" t="s">
        <v>203</v>
      </c>
      <c r="AA2968" s="1">
        <v>585292.5</v>
      </c>
      <c r="AB2968" s="1" t="s">
        <v>2355</v>
      </c>
      <c r="AC2968" s="5">
        <v>42752</v>
      </c>
      <c r="AF2968" s="1">
        <v>10029</v>
      </c>
      <c r="AI2968" s="1" t="s">
        <v>76</v>
      </c>
      <c r="AJ2968" s="1">
        <v>2008</v>
      </c>
      <c r="AK2968" s="1" t="s">
        <v>55</v>
      </c>
      <c r="AL2968" s="1">
        <v>76</v>
      </c>
    </row>
    <row r="2969" spans="1:38" x14ac:dyDescent="0.2">
      <c r="A2969" s="2" t="str">
        <f>HYPERLINK("https://www.compass.com/listing/1810-3rd-avenue-unit-8c-manhattan-ny-10029/29427594604618561/","1810 3rd Ave, Unit 8C")</f>
        <v>1810 3rd Ave, Unit 8C</v>
      </c>
      <c r="B2969" s="2" t="str">
        <f t="shared" si="449"/>
        <v>The Art House Condominiums</v>
      </c>
      <c r="C2969" s="1" t="s">
        <v>82</v>
      </c>
      <c r="D2969" s="1" t="s">
        <v>41</v>
      </c>
      <c r="E2969" s="3">
        <v>788126</v>
      </c>
      <c r="F2969" s="1">
        <v>1043.8748344370799</v>
      </c>
      <c r="M2969" s="1">
        <v>755</v>
      </c>
      <c r="Q2969" s="1" t="s">
        <v>42</v>
      </c>
      <c r="S2969" s="1" t="s">
        <v>42</v>
      </c>
      <c r="T2969" s="1" t="s">
        <v>203</v>
      </c>
      <c r="AA2969" s="1">
        <v>788125.5</v>
      </c>
      <c r="AB2969" s="1" t="s">
        <v>2356</v>
      </c>
      <c r="AC2969" s="5">
        <v>42583</v>
      </c>
      <c r="AF2969" s="1">
        <v>10029</v>
      </c>
      <c r="AI2969" s="1" t="s">
        <v>76</v>
      </c>
      <c r="AJ2969" s="1">
        <v>2008</v>
      </c>
      <c r="AK2969" s="1" t="s">
        <v>55</v>
      </c>
      <c r="AL2969" s="1">
        <v>76</v>
      </c>
    </row>
    <row r="2970" spans="1:38" x14ac:dyDescent="0.2">
      <c r="A2970" s="2" t="str">
        <f>HYPERLINK("https://www.compass.com/listing/1810-3rd-avenue-unit-8d-manhattan-ny-10029/29427594931787265/","1810 3rd Ave, Unit 8D")</f>
        <v>1810 3rd Ave, Unit 8D</v>
      </c>
      <c r="B2970" s="2" t="str">
        <f t="shared" si="449"/>
        <v>The Art House Condominiums</v>
      </c>
      <c r="C2970" s="1" t="s">
        <v>82</v>
      </c>
      <c r="D2970" s="1" t="s">
        <v>41</v>
      </c>
      <c r="E2970" s="3">
        <v>710000</v>
      </c>
      <c r="F2970" s="1">
        <v>940.39735099337702</v>
      </c>
      <c r="M2970" s="1">
        <v>755</v>
      </c>
      <c r="Q2970" s="1" t="s">
        <v>42</v>
      </c>
      <c r="S2970" s="1" t="s">
        <v>42</v>
      </c>
      <c r="T2970" s="1" t="s">
        <v>203</v>
      </c>
      <c r="AA2970" s="1">
        <v>710000</v>
      </c>
      <c r="AB2970" s="1" t="s">
        <v>2357</v>
      </c>
      <c r="AC2970" s="5">
        <v>42585</v>
      </c>
      <c r="AF2970" s="1">
        <v>10029</v>
      </c>
      <c r="AI2970" s="1" t="s">
        <v>76</v>
      </c>
      <c r="AJ2970" s="1">
        <v>2008</v>
      </c>
      <c r="AK2970" s="1" t="s">
        <v>55</v>
      </c>
      <c r="AL2970" s="1">
        <v>76</v>
      </c>
    </row>
    <row r="2971" spans="1:38" x14ac:dyDescent="0.2">
      <c r="A2971" s="2" t="str">
        <f>HYPERLINK("https://www.compass.com/listing/1810-3rd-avenue-unit-9b-manhattan-ny-10029/29427596810835489/","1810 3rd Ave, Unit 9B")</f>
        <v>1810 3rd Ave, Unit 9B</v>
      </c>
      <c r="B2971" s="2" t="str">
        <f t="shared" si="449"/>
        <v>The Art House Condominiums</v>
      </c>
      <c r="C2971" s="1" t="s">
        <v>82</v>
      </c>
      <c r="D2971" s="1" t="s">
        <v>41</v>
      </c>
      <c r="E2971" s="3">
        <v>600000</v>
      </c>
      <c r="F2971" s="1">
        <v>923.07692307692298</v>
      </c>
      <c r="M2971" s="1">
        <v>650</v>
      </c>
      <c r="Q2971" s="1" t="s">
        <v>42</v>
      </c>
      <c r="S2971" s="1" t="s">
        <v>42</v>
      </c>
      <c r="T2971" s="1" t="s">
        <v>203</v>
      </c>
      <c r="AA2971" s="1">
        <v>600000</v>
      </c>
      <c r="AB2971" s="1" t="s">
        <v>2358</v>
      </c>
      <c r="AC2971" s="5">
        <v>42844</v>
      </c>
      <c r="AF2971" s="1">
        <v>10029</v>
      </c>
      <c r="AI2971" s="1" t="s">
        <v>76</v>
      </c>
      <c r="AJ2971" s="1">
        <v>2008</v>
      </c>
      <c r="AK2971" s="1" t="s">
        <v>55</v>
      </c>
      <c r="AL2971" s="1">
        <v>76</v>
      </c>
    </row>
    <row r="2972" spans="1:38" x14ac:dyDescent="0.2">
      <c r="A2972" s="2" t="str">
        <f>HYPERLINK("https://www.compass.com/listing/1810-3rd-avenue-unit-9c-manhattan-ny-10029/29427597146443857/","1810 3rd Ave, Unit 9C")</f>
        <v>1810 3rd Ave, Unit 9C</v>
      </c>
      <c r="B2972" s="2" t="str">
        <f t="shared" si="449"/>
        <v>The Art House Condominiums</v>
      </c>
      <c r="C2972" s="1" t="s">
        <v>82</v>
      </c>
      <c r="D2972" s="1" t="s">
        <v>41</v>
      </c>
      <c r="E2972" s="3">
        <v>661863</v>
      </c>
      <c r="F2972" s="1">
        <v>894.40878378378295</v>
      </c>
      <c r="M2972" s="1">
        <v>740</v>
      </c>
      <c r="Q2972" s="1" t="s">
        <v>42</v>
      </c>
      <c r="S2972" s="1" t="s">
        <v>42</v>
      </c>
      <c r="T2972" s="1" t="s">
        <v>203</v>
      </c>
      <c r="AA2972" s="1">
        <v>661862.5</v>
      </c>
      <c r="AB2972" s="1" t="s">
        <v>2359</v>
      </c>
      <c r="AC2972" s="5">
        <v>42576</v>
      </c>
      <c r="AF2972" s="1">
        <v>10029</v>
      </c>
      <c r="AI2972" s="1" t="s">
        <v>76</v>
      </c>
      <c r="AJ2972" s="1">
        <v>2008</v>
      </c>
      <c r="AK2972" s="1" t="s">
        <v>55</v>
      </c>
      <c r="AL2972" s="1">
        <v>76</v>
      </c>
    </row>
    <row r="2973" spans="1:38" x14ac:dyDescent="0.2">
      <c r="A2973" s="2" t="str">
        <f>HYPERLINK("https://www.compass.com/listing/1810-3rd-avenue-unit-9d-manhattan-ny-10029/29427597481911153/","1810 3rd Ave, Unit 9D")</f>
        <v>1810 3rd Ave, Unit 9D</v>
      </c>
      <c r="B2973" s="2" t="str">
        <f t="shared" si="449"/>
        <v>The Art House Condominiums</v>
      </c>
      <c r="C2973" s="1" t="s">
        <v>82</v>
      </c>
      <c r="D2973" s="1" t="s">
        <v>41</v>
      </c>
      <c r="E2973" s="3">
        <v>691646</v>
      </c>
      <c r="F2973" s="1">
        <v>934.65717567567503</v>
      </c>
      <c r="M2973" s="1">
        <v>740</v>
      </c>
      <c r="Q2973" s="1" t="s">
        <v>42</v>
      </c>
      <c r="S2973" s="1" t="s">
        <v>42</v>
      </c>
      <c r="T2973" s="1" t="s">
        <v>203</v>
      </c>
      <c r="AA2973" s="1">
        <v>691646.31</v>
      </c>
      <c r="AB2973" s="1" t="s">
        <v>2360</v>
      </c>
      <c r="AC2973" s="5">
        <v>42531</v>
      </c>
      <c r="AF2973" s="1">
        <v>10029</v>
      </c>
      <c r="AI2973" s="1" t="s">
        <v>76</v>
      </c>
      <c r="AJ2973" s="1">
        <v>2008</v>
      </c>
      <c r="AK2973" s="1" t="s">
        <v>55</v>
      </c>
      <c r="AL2973" s="1">
        <v>76</v>
      </c>
    </row>
    <row r="2974" spans="1:38" x14ac:dyDescent="0.2">
      <c r="A2974" s="2" t="str">
        <f>HYPERLINK("https://www.compass.com/listing/1810-3rd-avenue-unit-10a-manhattan-ny-10029/29427599226818673/","1810 3rd Ave, Unit 10A")</f>
        <v>1810 3rd Ave, Unit 10A</v>
      </c>
      <c r="B2974" s="2" t="str">
        <f t="shared" si="449"/>
        <v>The Art House Condominiums</v>
      </c>
      <c r="C2974" s="1" t="s">
        <v>82</v>
      </c>
      <c r="D2974" s="1" t="s">
        <v>41</v>
      </c>
      <c r="E2974" s="3">
        <v>615000</v>
      </c>
      <c r="F2974" s="1">
        <v>946.15384615384596</v>
      </c>
      <c r="M2974" s="1">
        <v>650</v>
      </c>
      <c r="Q2974" s="1" t="s">
        <v>42</v>
      </c>
      <c r="S2974" s="1" t="s">
        <v>42</v>
      </c>
      <c r="T2974" s="1" t="s">
        <v>203</v>
      </c>
      <c r="AA2974" s="1">
        <v>615000</v>
      </c>
      <c r="AB2974" s="1" t="s">
        <v>2361</v>
      </c>
      <c r="AC2974" s="5">
        <v>42712</v>
      </c>
      <c r="AF2974" s="1">
        <v>10029</v>
      </c>
      <c r="AI2974" s="1" t="s">
        <v>76</v>
      </c>
      <c r="AJ2974" s="1">
        <v>2008</v>
      </c>
      <c r="AK2974" s="1" t="s">
        <v>55</v>
      </c>
      <c r="AL2974" s="1">
        <v>76</v>
      </c>
    </row>
    <row r="2975" spans="1:38" x14ac:dyDescent="0.2">
      <c r="A2975" s="2" t="str">
        <f>HYPERLINK("https://www.compass.com/listing/1810-3rd-avenue-unit-10b-manhattan-ny-10029/29427599528731537/","1810 3rd Ave, Unit 10B")</f>
        <v>1810 3rd Ave, Unit 10B</v>
      </c>
      <c r="B2975" s="2" t="str">
        <f t="shared" si="449"/>
        <v>The Art House Condominiums</v>
      </c>
      <c r="C2975" s="1" t="s">
        <v>82</v>
      </c>
      <c r="D2975" s="1" t="s">
        <v>41</v>
      </c>
      <c r="E2975" s="3">
        <v>595000</v>
      </c>
      <c r="F2975" s="1">
        <v>915.38461538461502</v>
      </c>
      <c r="M2975" s="1">
        <v>650</v>
      </c>
      <c r="Q2975" s="1" t="s">
        <v>42</v>
      </c>
      <c r="S2975" s="1" t="s">
        <v>42</v>
      </c>
      <c r="T2975" s="1" t="s">
        <v>203</v>
      </c>
      <c r="AA2975" s="1">
        <v>595000</v>
      </c>
      <c r="AB2975" s="1" t="s">
        <v>2362</v>
      </c>
      <c r="AC2975" s="5">
        <v>42818</v>
      </c>
      <c r="AF2975" s="1">
        <v>10029</v>
      </c>
      <c r="AI2975" s="1" t="s">
        <v>76</v>
      </c>
      <c r="AJ2975" s="1">
        <v>2008</v>
      </c>
      <c r="AK2975" s="1" t="s">
        <v>55</v>
      </c>
      <c r="AL2975" s="1">
        <v>76</v>
      </c>
    </row>
    <row r="2976" spans="1:38" x14ac:dyDescent="0.2">
      <c r="A2976" s="2" t="str">
        <f>HYPERLINK("https://www.compass.com/listing/1810-3rd-avenue-unit-10c-manhattan-ny-10029/29427599847511633/","1810 3rd Ave, Unit 10C")</f>
        <v>1810 3rd Ave, Unit 10C</v>
      </c>
      <c r="B2976" s="2" t="str">
        <f t="shared" si="449"/>
        <v>The Art House Condominiums</v>
      </c>
      <c r="C2976" s="1" t="s">
        <v>82</v>
      </c>
      <c r="D2976" s="1" t="s">
        <v>41</v>
      </c>
      <c r="E2976" s="3">
        <v>595000</v>
      </c>
      <c r="F2976" s="1">
        <v>1068.2226211849099</v>
      </c>
      <c r="M2976" s="1">
        <v>557</v>
      </c>
      <c r="Q2976" s="1" t="s">
        <v>42</v>
      </c>
      <c r="S2976" s="1" t="s">
        <v>42</v>
      </c>
      <c r="T2976" s="1" t="s">
        <v>203</v>
      </c>
      <c r="AA2976" s="1">
        <v>595000</v>
      </c>
      <c r="AB2976" s="1" t="s">
        <v>2363</v>
      </c>
      <c r="AC2976" s="5">
        <v>42864</v>
      </c>
      <c r="AF2976" s="1">
        <v>10029</v>
      </c>
      <c r="AI2976" s="1" t="s">
        <v>76</v>
      </c>
      <c r="AJ2976" s="1">
        <v>2008</v>
      </c>
      <c r="AK2976" s="1" t="s">
        <v>55</v>
      </c>
      <c r="AL2976" s="1">
        <v>76</v>
      </c>
    </row>
    <row r="2977" spans="1:38" x14ac:dyDescent="0.2">
      <c r="A2977" s="2" t="str">
        <f>HYPERLINK("https://www.compass.com/listing/1810-3rd-avenue-unit-10d-manhattan-ny-10029/29427600157954177/","1810 3rd Ave, Unit 10D")</f>
        <v>1810 3rd Ave, Unit 10D</v>
      </c>
      <c r="B2977" s="2" t="str">
        <f t="shared" si="449"/>
        <v>The Art House Condominiums</v>
      </c>
      <c r="C2977" s="1" t="s">
        <v>82</v>
      </c>
      <c r="D2977" s="1" t="s">
        <v>41</v>
      </c>
      <c r="E2977" s="3">
        <v>577000</v>
      </c>
      <c r="F2977" s="1">
        <v>1035.9066427288999</v>
      </c>
      <c r="M2977" s="1">
        <v>557</v>
      </c>
      <c r="Q2977" s="1" t="s">
        <v>42</v>
      </c>
      <c r="S2977" s="1" t="s">
        <v>42</v>
      </c>
      <c r="T2977" s="1" t="s">
        <v>203</v>
      </c>
      <c r="AA2977" s="1">
        <v>577000</v>
      </c>
      <c r="AB2977" s="1" t="s">
        <v>2364</v>
      </c>
      <c r="AC2977" s="5">
        <v>42807</v>
      </c>
      <c r="AF2977" s="1">
        <v>10029</v>
      </c>
      <c r="AI2977" s="1" t="s">
        <v>76</v>
      </c>
      <c r="AJ2977" s="1">
        <v>2008</v>
      </c>
      <c r="AK2977" s="1" t="s">
        <v>55</v>
      </c>
      <c r="AL2977" s="1">
        <v>76</v>
      </c>
    </row>
    <row r="2978" spans="1:38" x14ac:dyDescent="0.2">
      <c r="A2978" s="2" t="str">
        <f>HYPERLINK("https://www.compass.com/listing/1810-3rd-avenue-unit-11a-manhattan-ny-10029/29427600459867041/","1810 3rd Ave, Unit 11A")</f>
        <v>1810 3rd Ave, Unit 11A</v>
      </c>
      <c r="B2978" s="2" t="str">
        <f t="shared" si="449"/>
        <v>The Art House Condominiums</v>
      </c>
      <c r="C2978" s="1" t="s">
        <v>82</v>
      </c>
      <c r="D2978" s="1" t="s">
        <v>41</v>
      </c>
      <c r="E2978" s="3">
        <v>625000</v>
      </c>
      <c r="F2978" s="1">
        <v>961.53846153846098</v>
      </c>
      <c r="M2978" s="1">
        <v>650</v>
      </c>
      <c r="Q2978" s="1" t="s">
        <v>42</v>
      </c>
      <c r="S2978" s="1" t="s">
        <v>42</v>
      </c>
      <c r="T2978" s="1" t="s">
        <v>203</v>
      </c>
      <c r="AA2978" s="1">
        <v>625000</v>
      </c>
      <c r="AB2978" s="1" t="s">
        <v>2365</v>
      </c>
      <c r="AC2978" s="5">
        <v>42611</v>
      </c>
      <c r="AF2978" s="1">
        <v>10029</v>
      </c>
      <c r="AI2978" s="1" t="s">
        <v>76</v>
      </c>
      <c r="AJ2978" s="1">
        <v>2008</v>
      </c>
      <c r="AK2978" s="1" t="s">
        <v>55</v>
      </c>
      <c r="AL2978" s="1">
        <v>76</v>
      </c>
    </row>
    <row r="2979" spans="1:38" x14ac:dyDescent="0.2">
      <c r="A2979" s="2" t="str">
        <f>HYPERLINK("https://www.compass.com/listing/1810-3rd-avenue-unit-11b-manhattan-ny-10029/29427600812201569/","1810 3rd Ave, Unit 11B")</f>
        <v>1810 3rd Ave, Unit 11B</v>
      </c>
      <c r="B2979" s="2" t="str">
        <f t="shared" si="449"/>
        <v>The Art House Condominiums</v>
      </c>
      <c r="C2979" s="1" t="s">
        <v>82</v>
      </c>
      <c r="D2979" s="1" t="s">
        <v>41</v>
      </c>
      <c r="E2979" s="3">
        <v>605000</v>
      </c>
      <c r="F2979" s="1">
        <v>930.76923076923003</v>
      </c>
      <c r="M2979" s="1">
        <v>650</v>
      </c>
      <c r="Q2979" s="1" t="s">
        <v>42</v>
      </c>
      <c r="S2979" s="1" t="s">
        <v>42</v>
      </c>
      <c r="T2979" s="1" t="s">
        <v>203</v>
      </c>
      <c r="AA2979" s="1">
        <v>605000</v>
      </c>
      <c r="AB2979" s="1" t="s">
        <v>2366</v>
      </c>
      <c r="AC2979" s="5">
        <v>42774</v>
      </c>
      <c r="AF2979" s="1">
        <v>10029</v>
      </c>
      <c r="AI2979" s="1" t="s">
        <v>76</v>
      </c>
      <c r="AJ2979" s="1">
        <v>2008</v>
      </c>
      <c r="AK2979" s="1" t="s">
        <v>55</v>
      </c>
      <c r="AL2979" s="1">
        <v>76</v>
      </c>
    </row>
    <row r="2980" spans="1:38" x14ac:dyDescent="0.2">
      <c r="A2980" s="2" t="str">
        <f>HYPERLINK("https://www.compass.com/listing/1810-3rd-avenue-unit-11c-manhattan-ny-10029/29427601147809937/","1810 3rd Ave, Unit 11C")</f>
        <v>1810 3rd Ave, Unit 11C</v>
      </c>
      <c r="B2980" s="2" t="str">
        <f t="shared" si="449"/>
        <v>The Art House Condominiums</v>
      </c>
      <c r="C2980" s="1" t="s">
        <v>82</v>
      </c>
      <c r="D2980" s="1" t="s">
        <v>41</v>
      </c>
      <c r="E2980" s="3">
        <v>575000</v>
      </c>
      <c r="F2980" s="1">
        <v>1032.31597845601</v>
      </c>
      <c r="M2980" s="1">
        <v>557</v>
      </c>
      <c r="Q2980" s="1" t="s">
        <v>42</v>
      </c>
      <c r="S2980" s="1" t="s">
        <v>42</v>
      </c>
      <c r="T2980" s="1" t="s">
        <v>203</v>
      </c>
      <c r="AA2980" s="1">
        <v>575000</v>
      </c>
      <c r="AB2980" s="1" t="s">
        <v>2367</v>
      </c>
      <c r="AC2980" s="5">
        <v>42579</v>
      </c>
      <c r="AF2980" s="1">
        <v>10029</v>
      </c>
      <c r="AI2980" s="1" t="s">
        <v>76</v>
      </c>
      <c r="AJ2980" s="1">
        <v>2008</v>
      </c>
      <c r="AK2980" s="1" t="s">
        <v>55</v>
      </c>
      <c r="AL2980" s="1">
        <v>76</v>
      </c>
    </row>
    <row r="2981" spans="1:38" x14ac:dyDescent="0.2">
      <c r="A2981" s="2" t="str">
        <f>HYPERLINK("https://www.compass.com/listing/1810-3rd-avenue-unit-11d-manhattan-ny-10029/29427601441334193/","1810 3rd Ave, Unit 11D")</f>
        <v>1810 3rd Ave, Unit 11D</v>
      </c>
      <c r="B2981" s="2" t="str">
        <f t="shared" si="449"/>
        <v>The Art House Condominiums</v>
      </c>
      <c r="C2981" s="1" t="s">
        <v>82</v>
      </c>
      <c r="D2981" s="1" t="s">
        <v>41</v>
      </c>
      <c r="E2981" s="3">
        <v>651680</v>
      </c>
      <c r="F2981" s="1">
        <v>1169.98204667863</v>
      </c>
      <c r="M2981" s="1">
        <v>557</v>
      </c>
      <c r="Q2981" s="1" t="s">
        <v>42</v>
      </c>
      <c r="S2981" s="1" t="s">
        <v>42</v>
      </c>
      <c r="T2981" s="1" t="s">
        <v>203</v>
      </c>
      <c r="AA2981" s="1">
        <v>651680</v>
      </c>
      <c r="AB2981" s="1" t="s">
        <v>2368</v>
      </c>
      <c r="AC2981" s="5">
        <v>42572</v>
      </c>
      <c r="AF2981" s="1">
        <v>10029</v>
      </c>
      <c r="AI2981" s="1" t="s">
        <v>76</v>
      </c>
      <c r="AJ2981" s="1">
        <v>2008</v>
      </c>
      <c r="AK2981" s="1" t="s">
        <v>55</v>
      </c>
      <c r="AL2981" s="1">
        <v>76</v>
      </c>
    </row>
    <row r="2982" spans="1:38" x14ac:dyDescent="0.2">
      <c r="A2982" s="2" t="str">
        <f>HYPERLINK("https://www.compass.com/listing/1810-3rd-avenue-unit-12a-manhattan-ny-10029/29427601760114289/","1810 3rd Ave, Unit 12A")</f>
        <v>1810 3rd Ave, Unit 12A</v>
      </c>
      <c r="B2982" s="2" t="str">
        <f t="shared" si="449"/>
        <v>The Art House Condominiums</v>
      </c>
      <c r="C2982" s="1" t="s">
        <v>82</v>
      </c>
      <c r="D2982" s="1" t="s">
        <v>41</v>
      </c>
      <c r="E2982" s="3">
        <v>641498</v>
      </c>
      <c r="F2982" s="1">
        <v>986.91923076923001</v>
      </c>
      <c r="M2982" s="1">
        <v>650</v>
      </c>
      <c r="Q2982" s="1" t="s">
        <v>42</v>
      </c>
      <c r="S2982" s="1" t="s">
        <v>42</v>
      </c>
      <c r="T2982" s="1" t="s">
        <v>203</v>
      </c>
      <c r="AA2982" s="1">
        <v>641497.5</v>
      </c>
      <c r="AB2982" s="1" t="s">
        <v>2369</v>
      </c>
      <c r="AC2982" s="5">
        <v>42664</v>
      </c>
      <c r="AF2982" s="1">
        <v>10029</v>
      </c>
      <c r="AI2982" s="1" t="s">
        <v>76</v>
      </c>
      <c r="AJ2982" s="1">
        <v>2008</v>
      </c>
      <c r="AK2982" s="1" t="s">
        <v>55</v>
      </c>
      <c r="AL2982" s="1">
        <v>76</v>
      </c>
    </row>
    <row r="2983" spans="1:38" x14ac:dyDescent="0.2">
      <c r="A2983" s="2" t="str">
        <f>HYPERLINK("https://www.compass.com/listing/1810-3rd-avenue-unit-a12b-manhattan-ny-10029/29427602162831521/","1810 3rd Ave, Unit A12B")</f>
        <v>1810 3rd Ave, Unit A12B</v>
      </c>
      <c r="B2983" s="2" t="str">
        <f t="shared" si="449"/>
        <v>The Art House Condominiums</v>
      </c>
      <c r="C2983" s="1" t="s">
        <v>82</v>
      </c>
      <c r="D2983" s="1" t="s">
        <v>41</v>
      </c>
      <c r="E2983" s="3">
        <v>630000</v>
      </c>
      <c r="F2983" s="1">
        <v>1050</v>
      </c>
      <c r="G2983" s="1">
        <v>3</v>
      </c>
      <c r="H2983" s="1">
        <v>1</v>
      </c>
      <c r="I2983" s="1">
        <v>1</v>
      </c>
      <c r="J2983" s="1">
        <v>1</v>
      </c>
      <c r="K2983" s="1">
        <v>1</v>
      </c>
      <c r="M2983" s="1">
        <v>600</v>
      </c>
      <c r="N2983" s="1">
        <v>604.64</v>
      </c>
      <c r="O2983" s="1">
        <v>896.76</v>
      </c>
      <c r="P2983" s="1">
        <v>292.08333333333297</v>
      </c>
      <c r="Q2983" s="1" t="s">
        <v>42</v>
      </c>
      <c r="S2983" s="1" t="s">
        <v>42</v>
      </c>
      <c r="T2983" s="1" t="s">
        <v>203</v>
      </c>
      <c r="U2983" s="1">
        <v>104</v>
      </c>
      <c r="V2983" s="5">
        <v>42763</v>
      </c>
      <c r="W2983" s="5">
        <v>42403</v>
      </c>
      <c r="X2983" s="1">
        <v>670000</v>
      </c>
      <c r="Y2983" s="1">
        <v>670000</v>
      </c>
      <c r="AA2983" s="1">
        <v>630000</v>
      </c>
      <c r="AB2983" s="1" t="s">
        <v>1803</v>
      </c>
      <c r="AC2983" s="5">
        <v>42654</v>
      </c>
      <c r="AF2983" s="1">
        <v>10029</v>
      </c>
      <c r="AI2983" s="1" t="s">
        <v>1801</v>
      </c>
      <c r="AJ2983" s="1">
        <v>2008</v>
      </c>
      <c r="AK2983" s="1" t="s">
        <v>87</v>
      </c>
      <c r="AL2983" s="1">
        <v>76</v>
      </c>
    </row>
    <row r="2984" spans="1:38" x14ac:dyDescent="0.2">
      <c r="A2984" s="2" t="str">
        <f>HYPERLINK("https://www.compass.com/listing/1810-3rd-avenue-unit-12c-manhattan-ny-10029/29427602624127937/","1810 3rd Ave, Unit 12C")</f>
        <v>1810 3rd Ave, Unit 12C</v>
      </c>
      <c r="B2984" s="2" t="str">
        <f t="shared" si="449"/>
        <v>The Art House Condominiums</v>
      </c>
      <c r="C2984" s="1" t="s">
        <v>82</v>
      </c>
      <c r="D2984" s="1" t="s">
        <v>41</v>
      </c>
      <c r="E2984" s="3">
        <v>595000</v>
      </c>
      <c r="F2984" s="1">
        <v>1068.2226211849099</v>
      </c>
      <c r="M2984" s="1">
        <v>557</v>
      </c>
      <c r="Q2984" s="1" t="s">
        <v>42</v>
      </c>
      <c r="S2984" s="1" t="s">
        <v>42</v>
      </c>
      <c r="T2984" s="1" t="s">
        <v>203</v>
      </c>
      <c r="AA2984" s="1">
        <v>595000</v>
      </c>
      <c r="AB2984" s="1" t="s">
        <v>2370</v>
      </c>
      <c r="AC2984" s="5">
        <v>42534</v>
      </c>
      <c r="AF2984" s="1">
        <v>10029</v>
      </c>
      <c r="AI2984" s="1" t="s">
        <v>76</v>
      </c>
      <c r="AJ2984" s="1">
        <v>2008</v>
      </c>
      <c r="AK2984" s="1" t="s">
        <v>55</v>
      </c>
      <c r="AL2984" s="1">
        <v>76</v>
      </c>
    </row>
    <row r="2985" spans="1:38" x14ac:dyDescent="0.2">
      <c r="A2985" s="2" t="str">
        <f>HYPERLINK("https://www.compass.com/listing/1810-3rd-avenue-unit-12d-manhattan-ny-10029/29427602968073857/","1810 3rd Ave, Unit 12D")</f>
        <v>1810 3rd Ave, Unit 12D</v>
      </c>
      <c r="B2985" s="2" t="str">
        <f t="shared" si="449"/>
        <v>The Art House Condominiums</v>
      </c>
      <c r="C2985" s="1" t="s">
        <v>82</v>
      </c>
      <c r="D2985" s="1" t="s">
        <v>41</v>
      </c>
      <c r="E2985" s="3">
        <v>656771</v>
      </c>
      <c r="F2985" s="1">
        <v>1179.12253141831</v>
      </c>
      <c r="M2985" s="1">
        <v>557</v>
      </c>
      <c r="Q2985" s="1" t="s">
        <v>42</v>
      </c>
      <c r="S2985" s="1" t="s">
        <v>42</v>
      </c>
      <c r="T2985" s="1" t="s">
        <v>203</v>
      </c>
      <c r="AA2985" s="1">
        <v>656771.25</v>
      </c>
      <c r="AB2985" s="1" t="s">
        <v>2371</v>
      </c>
      <c r="AC2985" s="5">
        <v>42605</v>
      </c>
      <c r="AF2985" s="1">
        <v>10029</v>
      </c>
      <c r="AI2985" s="1" t="s">
        <v>76</v>
      </c>
      <c r="AJ2985" s="1">
        <v>2008</v>
      </c>
      <c r="AK2985" s="1" t="s">
        <v>55</v>
      </c>
      <c r="AL2985" s="1">
        <v>76</v>
      </c>
    </row>
    <row r="2986" spans="1:38" x14ac:dyDescent="0.2">
      <c r="A2986" s="2" t="str">
        <f>HYPERLINK("https://www.compass.com/listing/952-columbus-avenue-unit-7a-manhattan-ny-10025/29430198730491745/","952 Columbus Ave, Unit 7A")</f>
        <v>952 Columbus Ave, Unit 7A</v>
      </c>
      <c r="B2986" s="2" t="str">
        <f>HYPERLINK("https://www.compass.com/building/952-columbus-ave-manhattan-ny-10025/281973617187710805/","952 Columbus Ave")</f>
        <v>952 Columbus Ave</v>
      </c>
      <c r="C2986" s="1" t="s">
        <v>47</v>
      </c>
      <c r="D2986" s="1" t="s">
        <v>41</v>
      </c>
      <c r="E2986" s="3">
        <v>2647450</v>
      </c>
      <c r="F2986" s="1">
        <v>1624.20245398773</v>
      </c>
      <c r="M2986" s="4">
        <v>1630</v>
      </c>
      <c r="Q2986" s="1" t="s">
        <v>42</v>
      </c>
      <c r="S2986" s="1" t="s">
        <v>42</v>
      </c>
      <c r="T2986" s="1" t="s">
        <v>203</v>
      </c>
      <c r="AA2986" s="1">
        <v>2647450</v>
      </c>
      <c r="AB2986" s="1" t="s">
        <v>2372</v>
      </c>
      <c r="AC2986" s="5">
        <v>42942</v>
      </c>
      <c r="AF2986" s="1">
        <v>10025</v>
      </c>
      <c r="AI2986" s="1" t="s">
        <v>52</v>
      </c>
      <c r="AJ2986" s="1">
        <v>2016</v>
      </c>
      <c r="AL2986" s="1">
        <v>15</v>
      </c>
    </row>
    <row r="2987" spans="1:38" x14ac:dyDescent="0.2">
      <c r="A2987" s="2" t="str">
        <f>HYPERLINK("https://www.compass.com/listing/131-west-122nd-street-unit-gara-manhattan-ny-10027/29432193549952657/","131 W 122nd St, Unit GARA")</f>
        <v>131 W 122nd St, Unit GARA</v>
      </c>
      <c r="B2987" s="2" t="str">
        <f>HYPERLINK("https://www.compass.com/building/131-w-122nd-st-manhattan-ny-10027/281978369350923893/","131 W 122nd St")</f>
        <v>131 W 122nd St</v>
      </c>
      <c r="C2987" s="1" t="s">
        <v>131</v>
      </c>
      <c r="D2987" s="1" t="s">
        <v>41</v>
      </c>
      <c r="E2987" s="3">
        <v>732122</v>
      </c>
      <c r="F2987" s="1">
        <v>725.59142715559904</v>
      </c>
      <c r="M2987" s="4">
        <v>1009</v>
      </c>
      <c r="Q2987" s="1" t="s">
        <v>42</v>
      </c>
      <c r="S2987" s="1" t="s">
        <v>42</v>
      </c>
      <c r="T2987" s="1" t="s">
        <v>203</v>
      </c>
      <c r="AA2987" s="1">
        <v>732121.75</v>
      </c>
      <c r="AB2987" s="1" t="s">
        <v>2373</v>
      </c>
      <c r="AC2987" s="5">
        <v>42922</v>
      </c>
      <c r="AF2987" s="1">
        <v>10027</v>
      </c>
      <c r="AI2987" s="1" t="s">
        <v>58</v>
      </c>
      <c r="AJ2987" s="1">
        <v>1910</v>
      </c>
      <c r="AL2987" s="1">
        <v>10</v>
      </c>
    </row>
    <row r="2988" spans="1:38" x14ac:dyDescent="0.2">
      <c r="A2988" s="2" t="str">
        <f>HYPERLINK("https://www.compass.com/listing/139-west-126th-street-unit-gar-a-manhattan-ny-10027/29432255399161121/","139 W 126th St, Unit GAR A")</f>
        <v>139 W 126th St, Unit GAR A</v>
      </c>
      <c r="B2988" s="2" t="str">
        <f>HYPERLINK("https://www.compass.com/building/139-w-126th-st-manhattan-ny-10027/281978594853484453/","139 W 126th St")</f>
        <v>139 W 126th St</v>
      </c>
      <c r="C2988" s="1" t="s">
        <v>145</v>
      </c>
      <c r="D2988" s="1" t="s">
        <v>41</v>
      </c>
      <c r="E2988" s="3">
        <v>1322707</v>
      </c>
      <c r="F2988" s="1">
        <v>729.16579382579903</v>
      </c>
      <c r="M2988" s="4">
        <v>1814</v>
      </c>
      <c r="Q2988" s="1" t="s">
        <v>42</v>
      </c>
      <c r="S2988" s="1" t="s">
        <v>42</v>
      </c>
      <c r="T2988" s="1" t="s">
        <v>203</v>
      </c>
      <c r="AA2988" s="1">
        <v>1322706.75</v>
      </c>
      <c r="AB2988" s="1" t="s">
        <v>2374</v>
      </c>
      <c r="AC2988" s="5">
        <v>42632</v>
      </c>
      <c r="AF2988" s="1">
        <v>10027</v>
      </c>
      <c r="AI2988" s="1" t="s">
        <v>52</v>
      </c>
      <c r="AJ2988" s="1">
        <v>1910</v>
      </c>
      <c r="AL2988" s="1">
        <v>4</v>
      </c>
    </row>
    <row r="2989" spans="1:38" x14ac:dyDescent="0.2">
      <c r="A2989" s="2" t="str">
        <f>HYPERLINK("https://www.compass.com/listing/775-riverside-drive-unit-1c-manhattan-ny-10032/29435468848321297/","775 Riverside Dr, Unit 1C")</f>
        <v>775 Riverside Dr, Unit 1C</v>
      </c>
      <c r="B2989" s="2" t="str">
        <f t="shared" ref="B2989:B2997" si="450">HYPERLINK("https://www.compass.com/building/775-riverside-dr-manhattan-ny-10032/294837409665591813/","775 Riverside Dr")</f>
        <v>775 Riverside Dr</v>
      </c>
      <c r="C2989" s="1" t="s">
        <v>164</v>
      </c>
      <c r="D2989" s="1" t="s">
        <v>41</v>
      </c>
      <c r="E2989" s="3">
        <v>505986</v>
      </c>
      <c r="F2989" s="1">
        <v>557.86769570010995</v>
      </c>
      <c r="M2989" s="1">
        <v>907</v>
      </c>
      <c r="Q2989" s="1" t="s">
        <v>42</v>
      </c>
      <c r="S2989" s="1" t="s">
        <v>42</v>
      </c>
      <c r="T2989" s="1" t="s">
        <v>203</v>
      </c>
      <c r="AA2989" s="1">
        <v>505986</v>
      </c>
      <c r="AB2989" s="1" t="s">
        <v>2375</v>
      </c>
      <c r="AC2989" s="5">
        <v>42359</v>
      </c>
      <c r="AF2989" s="1">
        <v>10032</v>
      </c>
      <c r="AJ2989" s="1">
        <v>1931</v>
      </c>
    </row>
    <row r="2990" spans="1:38" x14ac:dyDescent="0.2">
      <c r="A2990" s="2" t="str">
        <f>HYPERLINK("https://www.compass.com/listing/775-riverside-drive-unit-2f-manhattan-ny-10032/29435471205520177/","775 Riverside Dr, Unit 2F")</f>
        <v>775 Riverside Dr, Unit 2F</v>
      </c>
      <c r="B2990" s="2" t="str">
        <f t="shared" si="450"/>
        <v>775 Riverside Dr</v>
      </c>
      <c r="C2990" s="1" t="s">
        <v>164</v>
      </c>
      <c r="D2990" s="1" t="s">
        <v>41</v>
      </c>
      <c r="E2990" s="3">
        <v>218000</v>
      </c>
      <c r="F2990" s="1">
        <v>459.91561181434599</v>
      </c>
      <c r="M2990" s="1">
        <v>474</v>
      </c>
      <c r="Q2990" s="1" t="s">
        <v>42</v>
      </c>
      <c r="S2990" s="1" t="s">
        <v>42</v>
      </c>
      <c r="T2990" s="1" t="s">
        <v>203</v>
      </c>
      <c r="AA2990" s="1">
        <v>218000</v>
      </c>
      <c r="AB2990" s="1" t="s">
        <v>2376</v>
      </c>
      <c r="AC2990" s="5">
        <v>42367</v>
      </c>
      <c r="AF2990" s="1">
        <v>10032</v>
      </c>
      <c r="AJ2990" s="1">
        <v>1931</v>
      </c>
    </row>
    <row r="2991" spans="1:38" x14ac:dyDescent="0.2">
      <c r="A2991" s="2" t="str">
        <f>HYPERLINK("https://www.compass.com/listing/775-riverside-drive-unit-2k-manhattan-ny-10032/29435471532736129/","775 Riverside Dr, Unit 2K")</f>
        <v>775 Riverside Dr, Unit 2K</v>
      </c>
      <c r="B2991" s="2" t="str">
        <f t="shared" si="450"/>
        <v>775 Riverside Dr</v>
      </c>
      <c r="C2991" s="1" t="s">
        <v>164</v>
      </c>
      <c r="D2991" s="1" t="s">
        <v>41</v>
      </c>
      <c r="E2991" s="3">
        <v>420000</v>
      </c>
      <c r="F2991" s="1">
        <v>716.723549488054</v>
      </c>
      <c r="M2991" s="1">
        <v>586</v>
      </c>
      <c r="Q2991" s="1" t="s">
        <v>42</v>
      </c>
      <c r="S2991" s="1" t="s">
        <v>42</v>
      </c>
      <c r="T2991" s="1" t="s">
        <v>203</v>
      </c>
      <c r="AA2991" s="1">
        <v>420000</v>
      </c>
      <c r="AB2991" s="1" t="s">
        <v>2377</v>
      </c>
      <c r="AC2991" s="5">
        <v>42913</v>
      </c>
      <c r="AF2991" s="1">
        <v>10032</v>
      </c>
      <c r="AJ2991" s="1">
        <v>1931</v>
      </c>
    </row>
    <row r="2992" spans="1:38" x14ac:dyDescent="0.2">
      <c r="A2992" s="2" t="str">
        <f>HYPERLINK("https://www.compass.com/listing/775-riverside-drive-unit-3a-manhattan-ny-10032/29435471843115905/","775 Riverside Dr, Unit 3A")</f>
        <v>775 Riverside Dr, Unit 3A</v>
      </c>
      <c r="B2992" s="2" t="str">
        <f t="shared" si="450"/>
        <v>775 Riverside Dr</v>
      </c>
      <c r="C2992" s="1" t="s">
        <v>164</v>
      </c>
      <c r="D2992" s="1" t="s">
        <v>41</v>
      </c>
      <c r="E2992" s="3">
        <v>400530</v>
      </c>
      <c r="F2992" s="1">
        <v>689.38037865748697</v>
      </c>
      <c r="M2992" s="1">
        <v>581</v>
      </c>
      <c r="Q2992" s="1" t="s">
        <v>42</v>
      </c>
      <c r="S2992" s="1" t="s">
        <v>42</v>
      </c>
      <c r="T2992" s="1" t="s">
        <v>203</v>
      </c>
      <c r="AA2992" s="1">
        <v>400530</v>
      </c>
      <c r="AB2992" s="1" t="s">
        <v>2378</v>
      </c>
      <c r="AC2992" s="5">
        <v>42459</v>
      </c>
      <c r="AF2992" s="1">
        <v>10032</v>
      </c>
      <c r="AJ2992" s="1">
        <v>1931</v>
      </c>
    </row>
    <row r="2993" spans="1:38" x14ac:dyDescent="0.2">
      <c r="A2993" s="2" t="str">
        <f>HYPERLINK("https://www.compass.com/listing/775-riverside-drive-unit-3f-manhattan-ny-10032/29435472539369105/","775 Riverside Dr, Unit 3F")</f>
        <v>775 Riverside Dr, Unit 3F</v>
      </c>
      <c r="B2993" s="2" t="str">
        <f t="shared" si="450"/>
        <v>775 Riverside Dr</v>
      </c>
      <c r="C2993" s="1" t="s">
        <v>164</v>
      </c>
      <c r="D2993" s="1" t="s">
        <v>41</v>
      </c>
      <c r="E2993" s="3">
        <v>380250</v>
      </c>
      <c r="F2993" s="1">
        <v>802.21518987341699</v>
      </c>
      <c r="M2993" s="1">
        <v>474</v>
      </c>
      <c r="Q2993" s="1" t="s">
        <v>42</v>
      </c>
      <c r="S2993" s="1" t="s">
        <v>42</v>
      </c>
      <c r="T2993" s="1" t="s">
        <v>203</v>
      </c>
      <c r="AA2993" s="1">
        <v>380250</v>
      </c>
      <c r="AB2993" s="1" t="s">
        <v>2379</v>
      </c>
      <c r="AC2993" s="5">
        <v>42607</v>
      </c>
      <c r="AF2993" s="1">
        <v>10032</v>
      </c>
      <c r="AJ2993" s="1">
        <v>1931</v>
      </c>
    </row>
    <row r="2994" spans="1:38" x14ac:dyDescent="0.2">
      <c r="A2994" s="2" t="str">
        <f>HYPERLINK("https://www.compass.com/listing/775-riverside-drive-unit-4g-manhattan-ny-10032/29435475248829297/","775 Riverside Dr, Unit 4G")</f>
        <v>775 Riverside Dr, Unit 4G</v>
      </c>
      <c r="B2994" s="2" t="str">
        <f t="shared" si="450"/>
        <v>775 Riverside Dr</v>
      </c>
      <c r="C2994" s="1" t="s">
        <v>164</v>
      </c>
      <c r="D2994" s="1" t="s">
        <v>41</v>
      </c>
      <c r="E2994" s="3">
        <v>770815</v>
      </c>
      <c r="F2994" s="1">
        <v>637.56430934656703</v>
      </c>
      <c r="M2994" s="4">
        <v>1209</v>
      </c>
      <c r="Q2994" s="1" t="s">
        <v>42</v>
      </c>
      <c r="S2994" s="1" t="s">
        <v>42</v>
      </c>
      <c r="T2994" s="1" t="s">
        <v>203</v>
      </c>
      <c r="AA2994" s="1">
        <v>770815.25</v>
      </c>
      <c r="AB2994" s="1" t="s">
        <v>2380</v>
      </c>
      <c r="AC2994" s="5">
        <v>42405</v>
      </c>
      <c r="AF2994" s="1">
        <v>10032</v>
      </c>
      <c r="AJ2994" s="1">
        <v>1931</v>
      </c>
    </row>
    <row r="2995" spans="1:38" x14ac:dyDescent="0.2">
      <c r="A2995" s="2" t="str">
        <f>HYPERLINK("https://www.compass.com/listing/775-riverside-drive-unit-5c-manhattan-ny-10032/29435475576045249/","775 Riverside Dr, Unit 5C")</f>
        <v>775 Riverside Dr, Unit 5C</v>
      </c>
      <c r="B2995" s="2" t="str">
        <f t="shared" si="450"/>
        <v>775 Riverside Dr</v>
      </c>
      <c r="C2995" s="1" t="s">
        <v>164</v>
      </c>
      <c r="D2995" s="1" t="s">
        <v>41</v>
      </c>
      <c r="E2995" s="3">
        <v>575311</v>
      </c>
      <c r="F2995" s="1">
        <v>657.49828571428498</v>
      </c>
      <c r="G2995" s="1">
        <v>3.5</v>
      </c>
      <c r="H2995" s="1">
        <v>1</v>
      </c>
      <c r="I2995" s="1">
        <v>1</v>
      </c>
      <c r="J2995" s="1">
        <v>1</v>
      </c>
      <c r="M2995" s="1">
        <v>875</v>
      </c>
      <c r="N2995" s="1">
        <v>640</v>
      </c>
      <c r="O2995" s="1">
        <v>814</v>
      </c>
      <c r="P2995" s="1">
        <v>174</v>
      </c>
      <c r="Q2995" s="1" t="s">
        <v>42</v>
      </c>
      <c r="S2995" s="1" t="s">
        <v>42</v>
      </c>
      <c r="T2995" s="1" t="s">
        <v>203</v>
      </c>
      <c r="U2995" s="1">
        <v>68</v>
      </c>
      <c r="V2995" s="5">
        <v>43679</v>
      </c>
      <c r="W2995" s="5">
        <v>42092</v>
      </c>
      <c r="X2995" s="1">
        <v>590000</v>
      </c>
      <c r="Y2995" s="1">
        <v>590000</v>
      </c>
      <c r="Z2995" s="5">
        <v>42160</v>
      </c>
      <c r="AA2995" s="1">
        <v>575311</v>
      </c>
      <c r="AB2995" s="1" t="s">
        <v>2381</v>
      </c>
      <c r="AC2995" s="5">
        <v>42413</v>
      </c>
      <c r="AF2995" s="1">
        <v>10032</v>
      </c>
      <c r="AJ2995" s="1">
        <v>1931</v>
      </c>
    </row>
    <row r="2996" spans="1:38" x14ac:dyDescent="0.2">
      <c r="A2996" s="2" t="str">
        <f>HYPERLINK("https://www.compass.com/listing/775-riverside-drive-unit-5e-manhattan-ny-10032/29435475978699697/","775 Riverside Dr, Unit 5E")</f>
        <v>775 Riverside Dr, Unit 5E</v>
      </c>
      <c r="B2996" s="2" t="str">
        <f t="shared" si="450"/>
        <v>775 Riverside Dr</v>
      </c>
      <c r="C2996" s="1" t="s">
        <v>164</v>
      </c>
      <c r="D2996" s="1" t="s">
        <v>41</v>
      </c>
      <c r="E2996" s="3">
        <v>908213</v>
      </c>
      <c r="F2996" s="1">
        <v>748.73248145094794</v>
      </c>
      <c r="M2996" s="4">
        <v>1213</v>
      </c>
      <c r="Q2996" s="1" t="s">
        <v>42</v>
      </c>
      <c r="S2996" s="1" t="s">
        <v>42</v>
      </c>
      <c r="T2996" s="1" t="s">
        <v>203</v>
      </c>
      <c r="AA2996" s="1">
        <v>908212.5</v>
      </c>
      <c r="AB2996" s="1" t="s">
        <v>2382</v>
      </c>
      <c r="AC2996" s="5">
        <v>42823</v>
      </c>
      <c r="AF2996" s="1">
        <v>10032</v>
      </c>
      <c r="AJ2996" s="1">
        <v>1931</v>
      </c>
    </row>
    <row r="2997" spans="1:38" x14ac:dyDescent="0.2">
      <c r="A2997" s="2" t="str">
        <f>HYPERLINK("https://www.compass.com/listing/775-riverside-drive-unit-5f-manhattan-ny-10032/29435476280628097/","775 Riverside Dr, Unit 5F")</f>
        <v>775 Riverside Dr, Unit 5F</v>
      </c>
      <c r="B2997" s="2" t="str">
        <f t="shared" si="450"/>
        <v>775 Riverside Dr</v>
      </c>
      <c r="C2997" s="1" t="s">
        <v>164</v>
      </c>
      <c r="D2997" s="1" t="s">
        <v>41</v>
      </c>
      <c r="E2997" s="3">
        <v>247000</v>
      </c>
      <c r="F2997" s="1">
        <v>521.09704641350197</v>
      </c>
      <c r="M2997" s="1">
        <v>474</v>
      </c>
      <c r="Q2997" s="1" t="s">
        <v>42</v>
      </c>
      <c r="S2997" s="1" t="s">
        <v>42</v>
      </c>
      <c r="T2997" s="1" t="s">
        <v>203</v>
      </c>
      <c r="AA2997" s="1">
        <v>247000</v>
      </c>
      <c r="AB2997" s="1" t="s">
        <v>2383</v>
      </c>
      <c r="AC2997" s="5">
        <v>42411</v>
      </c>
      <c r="AF2997" s="1">
        <v>10032</v>
      </c>
      <c r="AJ2997" s="1">
        <v>1931</v>
      </c>
    </row>
    <row r="2998" spans="1:38" x14ac:dyDescent="0.2">
      <c r="A2998" s="2" t="str">
        <f>HYPERLINK("https://www.compass.com/listing/200-east-62nd-street-unit-ph-manhattan-ny-10065/29507235822524385/","200 E 62nd St, Unit PH")</f>
        <v>200 E 62nd St, Unit PH</v>
      </c>
      <c r="B2998" s="2" t="str">
        <f>HYPERLINK("https://www.compass.com/building/200-e-62-manhattan-ny/282037506914928197/","200 E 62")</f>
        <v>200 E 62</v>
      </c>
      <c r="C2998" s="1" t="s">
        <v>53</v>
      </c>
      <c r="D2998" s="1" t="s">
        <v>41</v>
      </c>
      <c r="E2998" s="3">
        <v>7995000</v>
      </c>
      <c r="F2998" s="1">
        <v>3126.7109894407499</v>
      </c>
      <c r="G2998" s="1">
        <v>9</v>
      </c>
      <c r="H2998" s="1">
        <v>4</v>
      </c>
      <c r="I2998" s="1">
        <v>5</v>
      </c>
      <c r="J2998" s="1">
        <v>4.5</v>
      </c>
      <c r="K2998" s="1">
        <v>4</v>
      </c>
      <c r="L2998" s="1">
        <v>1</v>
      </c>
      <c r="M2998" s="4">
        <v>2557</v>
      </c>
      <c r="N2998" s="1">
        <v>4278</v>
      </c>
      <c r="O2998" s="1">
        <v>10769</v>
      </c>
      <c r="P2998" s="1">
        <v>6491</v>
      </c>
      <c r="Q2998" s="1" t="s">
        <v>42</v>
      </c>
      <c r="S2998" s="1" t="s">
        <v>42</v>
      </c>
      <c r="T2998" s="1" t="s">
        <v>203</v>
      </c>
      <c r="V2998" s="5">
        <v>43648</v>
      </c>
      <c r="W2998" s="5">
        <v>43221</v>
      </c>
      <c r="X2998" s="1">
        <v>7995000</v>
      </c>
      <c r="Y2998" s="1">
        <v>7995000</v>
      </c>
      <c r="Z2998" s="5">
        <v>43221</v>
      </c>
      <c r="AA2998" s="1">
        <v>7995000</v>
      </c>
      <c r="AB2998" s="1" t="s">
        <v>204</v>
      </c>
      <c r="AC2998" s="5">
        <v>43379</v>
      </c>
      <c r="AF2998" s="1">
        <v>10065</v>
      </c>
      <c r="AI2998" s="1" t="s">
        <v>2384</v>
      </c>
      <c r="AJ2998" s="1">
        <v>1967</v>
      </c>
      <c r="AK2998" s="1" t="s">
        <v>81</v>
      </c>
      <c r="AL2998" s="1">
        <v>113</v>
      </c>
    </row>
    <row r="2999" spans="1:38" x14ac:dyDescent="0.2">
      <c r="A2999" s="2" t="str">
        <f>HYPERLINK("https://www.compass.com/listing/150-rivington-street-unit-4f-manhattan-ny-10002/29514916952065089/","150 Rivington St, Unit 4F")</f>
        <v>150 Rivington St, Unit 4F</v>
      </c>
      <c r="B2999" s="2" t="str">
        <f>HYPERLINK("https://www.compass.com/building/150-rivington-street-manhattan-ny/282058947895000453/","150 Rivington Street")</f>
        <v>150 Rivington Street</v>
      </c>
      <c r="C2999" s="1" t="s">
        <v>84</v>
      </c>
      <c r="D2999" s="1" t="s">
        <v>41</v>
      </c>
      <c r="E2999" s="3">
        <v>1065000</v>
      </c>
      <c r="F2999" s="1">
        <v>1961.3259668508199</v>
      </c>
      <c r="G2999" s="1">
        <v>3</v>
      </c>
      <c r="H2999" s="1">
        <v>1</v>
      </c>
      <c r="I2999" s="1">
        <v>1</v>
      </c>
      <c r="J2999" s="1">
        <v>1</v>
      </c>
      <c r="K2999" s="1">
        <v>1</v>
      </c>
      <c r="M2999" s="1">
        <v>543</v>
      </c>
      <c r="N2999" s="1">
        <v>761</v>
      </c>
      <c r="O2999" s="1">
        <v>1552</v>
      </c>
      <c r="P2999" s="1">
        <v>791</v>
      </c>
      <c r="Q2999" s="1" t="s">
        <v>42</v>
      </c>
      <c r="S2999" s="1" t="s">
        <v>42</v>
      </c>
      <c r="T2999" s="1" t="s">
        <v>203</v>
      </c>
      <c r="U2999" s="1">
        <v>432</v>
      </c>
      <c r="V2999" s="5">
        <v>43694</v>
      </c>
      <c r="W2999" s="5">
        <v>42805</v>
      </c>
      <c r="X2999" s="1">
        <v>1045000</v>
      </c>
      <c r="Y2999" s="1">
        <v>1065000</v>
      </c>
      <c r="Z2999" s="5">
        <v>43291</v>
      </c>
      <c r="AA2999" s="1">
        <v>1065000</v>
      </c>
      <c r="AB2999" s="1" t="s">
        <v>2385</v>
      </c>
      <c r="AC2999" s="5">
        <v>43623</v>
      </c>
      <c r="AF2999" s="1">
        <v>10002</v>
      </c>
      <c r="AI2999" s="1" t="s">
        <v>1977</v>
      </c>
      <c r="AJ2999" s="1">
        <v>2019</v>
      </c>
      <c r="AK2999" s="1" t="s">
        <v>87</v>
      </c>
      <c r="AL2999" s="1">
        <v>45</v>
      </c>
    </row>
    <row r="3000" spans="1:38" x14ac:dyDescent="0.2">
      <c r="A3000" s="2" t="str">
        <f>HYPERLINK("https://www.compass.com/listing/360-central-park-west-unit-4k-manhattan-ny-10025/30893720756938801/","360 Central Park W, Unit 4K")</f>
        <v>360 Central Park W, Unit 4K</v>
      </c>
      <c r="B3000" s="2" t="str">
        <f>HYPERLINK("https://www.compass.com/building/360-central-park-west-manhattan-ny/281971555427243781/","360 Central Park West")</f>
        <v>360 Central Park West</v>
      </c>
      <c r="C3000" s="1" t="s">
        <v>47</v>
      </c>
      <c r="D3000" s="1" t="s">
        <v>41</v>
      </c>
      <c r="E3000" s="3">
        <v>539673</v>
      </c>
      <c r="F3000" s="1">
        <v>1138.54957805907</v>
      </c>
      <c r="M3000" s="1">
        <v>474</v>
      </c>
      <c r="Q3000" s="1" t="s">
        <v>42</v>
      </c>
      <c r="S3000" s="1" t="s">
        <v>42</v>
      </c>
      <c r="T3000" s="1" t="s">
        <v>203</v>
      </c>
      <c r="AA3000" s="1">
        <v>539672.5</v>
      </c>
      <c r="AB3000" s="1" t="s">
        <v>2386</v>
      </c>
      <c r="AC3000" s="5">
        <v>43292</v>
      </c>
      <c r="AF3000" s="1">
        <v>10025</v>
      </c>
      <c r="AJ3000" s="1">
        <v>1929</v>
      </c>
      <c r="AK3000" s="1" t="s">
        <v>55</v>
      </c>
      <c r="AL3000" s="1">
        <v>126</v>
      </c>
    </row>
    <row r="3001" spans="1:38" x14ac:dyDescent="0.2">
      <c r="A3001" s="2" t="str">
        <f>HYPERLINK("https://www.compass.com/listing/1399-park-avenue-unit-14e-manhattan-ny-10029/311983734215576497/","1399 Park Ave, Unit 14E")</f>
        <v>1399 Park Ave, Unit 14E</v>
      </c>
      <c r="B3001" s="2" t="str">
        <f>HYPERLINK("https://www.compass.com/building/1399-park-manhattan-ny/281988559521557189/","1399 Park")</f>
        <v>1399 Park</v>
      </c>
      <c r="C3001" s="1" t="s">
        <v>82</v>
      </c>
      <c r="D3001" s="1" t="s">
        <v>41</v>
      </c>
      <c r="E3001" s="3">
        <v>1295000</v>
      </c>
      <c r="F3001" s="1">
        <v>1292.41516966067</v>
      </c>
      <c r="G3001" s="1">
        <v>4</v>
      </c>
      <c r="H3001" s="1">
        <v>2</v>
      </c>
      <c r="I3001" s="1">
        <v>2</v>
      </c>
      <c r="J3001" s="1">
        <v>2</v>
      </c>
      <c r="K3001" s="1">
        <v>2</v>
      </c>
      <c r="M3001" s="4">
        <v>1002</v>
      </c>
      <c r="N3001" s="1">
        <v>1163</v>
      </c>
      <c r="O3001" s="1">
        <v>1886</v>
      </c>
      <c r="P3001" s="1">
        <v>723</v>
      </c>
      <c r="Q3001" s="1" t="s">
        <v>42</v>
      </c>
      <c r="S3001" s="1" t="s">
        <v>42</v>
      </c>
      <c r="T3001" s="1" t="s">
        <v>203</v>
      </c>
      <c r="U3001" s="1">
        <v>140</v>
      </c>
      <c r="V3001" s="5">
        <v>44072</v>
      </c>
      <c r="W3001" s="5">
        <v>43680</v>
      </c>
      <c r="X3001" s="1">
        <v>1295000</v>
      </c>
      <c r="Y3001" s="1">
        <v>1295000</v>
      </c>
      <c r="Z3001" s="5">
        <v>43820</v>
      </c>
      <c r="AA3001" s="1">
        <v>1295000</v>
      </c>
      <c r="AB3001" s="1" t="s">
        <v>2387</v>
      </c>
      <c r="AC3001" s="5">
        <v>43895</v>
      </c>
      <c r="AF3001" s="1">
        <v>10029</v>
      </c>
      <c r="AI3001" s="1" t="s">
        <v>52</v>
      </c>
      <c r="AJ3001" s="1">
        <v>2019</v>
      </c>
      <c r="AK3001" s="1" t="s">
        <v>87</v>
      </c>
      <c r="AL3001" s="1">
        <v>72</v>
      </c>
    </row>
    <row r="3002" spans="1:38" x14ac:dyDescent="0.2">
      <c r="A3002" s="2" t="str">
        <f>HYPERLINK("https://www.compass.com/listing/215-west-122nd-street-unit-penth-manhattan-ny-10027/319957187883175201/","215 W 122nd St, Unit PENTH")</f>
        <v>215 W 122nd St, Unit PENTH</v>
      </c>
      <c r="B3002" s="2" t="str">
        <f>HYPERLINK("https://www.compass.com/building/215-w-122nd-st-manhattan-ny-10027/281980069470110005/","215 W 122nd St")</f>
        <v>215 W 122nd St</v>
      </c>
      <c r="C3002" s="1" t="s">
        <v>131</v>
      </c>
      <c r="D3002" s="1" t="s">
        <v>41</v>
      </c>
      <c r="E3002" s="3">
        <v>1720000</v>
      </c>
      <c r="F3002" s="1">
        <v>1276.9116555308001</v>
      </c>
      <c r="M3002" s="4">
        <v>1347</v>
      </c>
      <c r="Q3002" s="1" t="s">
        <v>42</v>
      </c>
      <c r="S3002" s="1" t="s">
        <v>42</v>
      </c>
      <c r="T3002" s="1" t="s">
        <v>203</v>
      </c>
      <c r="AA3002" s="1">
        <v>1720000</v>
      </c>
      <c r="AB3002" s="1" t="s">
        <v>2388</v>
      </c>
      <c r="AC3002" s="5">
        <v>43684</v>
      </c>
      <c r="AF3002" s="1">
        <v>10027</v>
      </c>
      <c r="AI3002" s="1" t="s">
        <v>73</v>
      </c>
      <c r="AJ3002" s="1">
        <v>2018</v>
      </c>
      <c r="AL3002" s="1">
        <v>6</v>
      </c>
    </row>
    <row r="3003" spans="1:38" x14ac:dyDescent="0.2">
      <c r="A3003" s="2" t="str">
        <f>HYPERLINK("https://www.compass.com/listing/34-east-13th-street-unit-a-manhattan-ny-10003/324832468687035585/","34 E 13th St, Unit A")</f>
        <v>34 E 13th St, Unit A</v>
      </c>
      <c r="B3003" s="2" t="str">
        <f>HYPERLINK("https://www.compass.com/building/34-e-13th-st-manhattan-ny-10003/344156397332654997/","34 E 13th St")</f>
        <v>34 E 13th St</v>
      </c>
      <c r="C3003" s="1" t="s">
        <v>2389</v>
      </c>
      <c r="D3003" s="1" t="s">
        <v>41</v>
      </c>
      <c r="E3003" s="3">
        <v>5900000</v>
      </c>
      <c r="F3003" s="1">
        <v>1930.6282722512999</v>
      </c>
      <c r="M3003" s="4">
        <v>3056</v>
      </c>
      <c r="Q3003" s="1" t="s">
        <v>42</v>
      </c>
      <c r="S3003" s="1" t="s">
        <v>42</v>
      </c>
      <c r="T3003" s="1" t="s">
        <v>203</v>
      </c>
      <c r="AA3003" s="1">
        <v>5900000</v>
      </c>
      <c r="AB3003" s="1" t="s">
        <v>2390</v>
      </c>
      <c r="AC3003" s="5">
        <v>43644</v>
      </c>
      <c r="AF3003" s="1">
        <v>10003</v>
      </c>
    </row>
    <row r="3004" spans="1:38" x14ac:dyDescent="0.2">
      <c r="A3004" s="2" t="str">
        <f>HYPERLINK("https://www.compass.com/listing/591-3rd-avenue-unit-14a-manhattan-ny-10016/328469303380283041/","591 3rd Ave, Unit 14A")</f>
        <v>591 3rd Ave, Unit 14A</v>
      </c>
      <c r="B3004" s="2" t="str">
        <f>HYPERLINK("https://www.compass.com/building/the-lindley-manhattan-ny/282058799928343829/","The Lindley")</f>
        <v>The Lindley</v>
      </c>
      <c r="C3004" s="1" t="s">
        <v>165</v>
      </c>
      <c r="D3004" s="1" t="s">
        <v>41</v>
      </c>
      <c r="E3004" s="3">
        <v>2020000</v>
      </c>
      <c r="F3004" s="1">
        <v>1875.58031569173</v>
      </c>
      <c r="M3004" s="4">
        <v>1077</v>
      </c>
      <c r="Q3004" s="1" t="s">
        <v>42</v>
      </c>
      <c r="S3004" s="1" t="s">
        <v>42</v>
      </c>
      <c r="T3004" s="1" t="s">
        <v>203</v>
      </c>
      <c r="AA3004" s="1">
        <v>2020000</v>
      </c>
      <c r="AB3004" s="1" t="s">
        <v>2391</v>
      </c>
      <c r="AC3004" s="5">
        <v>43692</v>
      </c>
      <c r="AF3004" s="1">
        <v>10016</v>
      </c>
      <c r="AI3004" s="1" t="s">
        <v>166</v>
      </c>
      <c r="AJ3004" s="1">
        <v>2018</v>
      </c>
      <c r="AK3004" s="1" t="s">
        <v>55</v>
      </c>
      <c r="AL3004" s="1">
        <v>74</v>
      </c>
    </row>
    <row r="3005" spans="1:38" x14ac:dyDescent="0.2">
      <c r="A3005" s="2" t="str">
        <f>HYPERLINK("https://www.compass.com/listing/340-west-72nd-street-unit-208-manhattan-ny-10023/338135071621568257/","340 W 72nd St, Unit 208")</f>
        <v>340 W 72nd St, Unit 208</v>
      </c>
      <c r="B3005" s="2" t="str">
        <f>HYPERLINK("https://www.compass.com/building/the-chatsworth-annex-manhattan-ny/281960253094963669/","The Chatsworth Annex")</f>
        <v>The Chatsworth Annex</v>
      </c>
      <c r="C3005" s="1" t="s">
        <v>47</v>
      </c>
      <c r="D3005" s="1" t="s">
        <v>41</v>
      </c>
      <c r="E3005" s="3">
        <v>2662016</v>
      </c>
      <c r="Q3005" s="1" t="s">
        <v>191</v>
      </c>
      <c r="S3005" s="1" t="s">
        <v>191</v>
      </c>
      <c r="T3005" s="1" t="s">
        <v>203</v>
      </c>
      <c r="AA3005" s="1">
        <v>2662016.2599999998</v>
      </c>
      <c r="AB3005" s="1" t="s">
        <v>2392</v>
      </c>
      <c r="AC3005" s="5">
        <v>43699</v>
      </c>
      <c r="AF3005" s="1">
        <v>10023</v>
      </c>
      <c r="AJ3005" s="1">
        <v>1920</v>
      </c>
      <c r="AL3005" s="1">
        <v>23</v>
      </c>
    </row>
    <row r="3006" spans="1:38" x14ac:dyDescent="0.2">
      <c r="A3006" s="2" t="str">
        <f>HYPERLINK("https://www.compass.com/listing/287-east-houston-street-unit-1b-manhattan-ny-10002/363447301092631137/","287 E Houston St, Unit 1B")</f>
        <v>287 E Houston St, Unit 1B</v>
      </c>
      <c r="B3006" s="2" t="str">
        <f>HYPERLINK("https://www.compass.com/building/287-les-manhattan-ny/281886930822496357/","287/LES")</f>
        <v>287/LES</v>
      </c>
      <c r="C3006" s="1" t="s">
        <v>84</v>
      </c>
      <c r="D3006" s="1" t="s">
        <v>41</v>
      </c>
      <c r="E3006" s="3">
        <v>2537500</v>
      </c>
      <c r="F3006" s="1">
        <v>1804.7652916073901</v>
      </c>
      <c r="M3006" s="4">
        <v>1406</v>
      </c>
      <c r="Q3006" s="1" t="s">
        <v>42</v>
      </c>
      <c r="S3006" s="1" t="s">
        <v>42</v>
      </c>
      <c r="T3006" s="1" t="s">
        <v>203</v>
      </c>
      <c r="AA3006" s="1">
        <v>2537500</v>
      </c>
      <c r="AB3006" s="1" t="s">
        <v>2393</v>
      </c>
      <c r="AC3006" s="5">
        <v>43731</v>
      </c>
      <c r="AF3006" s="1">
        <v>10002</v>
      </c>
      <c r="AI3006" s="1" t="s">
        <v>45</v>
      </c>
      <c r="AJ3006" s="1">
        <v>2018</v>
      </c>
      <c r="AK3006" s="1" t="s">
        <v>140</v>
      </c>
      <c r="AL3006" s="1">
        <v>27</v>
      </c>
    </row>
    <row r="3007" spans="1:38" x14ac:dyDescent="0.2">
      <c r="A3007" s="2" t="str">
        <f>HYPERLINK("https://www.compass.com/listing/360-central-park-west-unit-4l-manhattan-ny-10025/364160465791140769/","360 Central Park W, Unit 4L")</f>
        <v>360 Central Park W, Unit 4L</v>
      </c>
      <c r="B3007" s="2" t="str">
        <f>HYPERLINK("https://www.compass.com/building/360-central-park-west-manhattan-ny/281971555427243781/","360 Central Park West")</f>
        <v>360 Central Park West</v>
      </c>
      <c r="C3007" s="1" t="s">
        <v>47</v>
      </c>
      <c r="D3007" s="1" t="s">
        <v>41</v>
      </c>
      <c r="E3007" s="3">
        <v>585494</v>
      </c>
      <c r="F3007" s="1">
        <v>791.20777027026998</v>
      </c>
      <c r="M3007" s="1">
        <v>740</v>
      </c>
      <c r="Q3007" s="1" t="s">
        <v>42</v>
      </c>
      <c r="S3007" s="1" t="s">
        <v>42</v>
      </c>
      <c r="T3007" s="1" t="s">
        <v>203</v>
      </c>
      <c r="AA3007" s="1">
        <v>585493.75</v>
      </c>
      <c r="AB3007" s="1" t="s">
        <v>2394</v>
      </c>
      <c r="AC3007" s="5">
        <v>43726</v>
      </c>
      <c r="AF3007" s="1">
        <v>10025</v>
      </c>
      <c r="AJ3007" s="1">
        <v>1929</v>
      </c>
      <c r="AK3007" s="1" t="s">
        <v>55</v>
      </c>
      <c r="AL3007" s="1">
        <v>126</v>
      </c>
    </row>
    <row r="3008" spans="1:38" x14ac:dyDescent="0.2">
      <c r="A3008" s="2" t="str">
        <f>HYPERLINK("https://www.compass.com/listing/40-east-end-avenue-unit-10a-manhattan-ny-10028/370713836270167345/","40 E End Ave, Unit 10A")</f>
        <v>40 E End Ave, Unit 10A</v>
      </c>
      <c r="B3008" s="2" t="str">
        <f>HYPERLINK("https://www.compass.com/building/40-e-end-ave-manhattan-ny-10028/281986569399806037/","40 E End Ave")</f>
        <v>40 E End Ave</v>
      </c>
      <c r="C3008" s="1" t="s">
        <v>53</v>
      </c>
      <c r="D3008" s="1" t="s">
        <v>41</v>
      </c>
      <c r="E3008" s="3">
        <v>5859509</v>
      </c>
      <c r="F3008" s="1">
        <v>2765.22389806512</v>
      </c>
      <c r="H3008" s="1">
        <v>3</v>
      </c>
      <c r="J3008" s="1">
        <v>3.5</v>
      </c>
      <c r="M3008" s="4">
        <v>2119</v>
      </c>
      <c r="N3008" s="1">
        <v>2353</v>
      </c>
      <c r="O3008" s="1">
        <v>4481</v>
      </c>
      <c r="P3008" s="1">
        <v>2128</v>
      </c>
      <c r="Q3008" s="1" t="s">
        <v>42</v>
      </c>
      <c r="S3008" s="1" t="s">
        <v>42</v>
      </c>
      <c r="T3008" s="1" t="s">
        <v>203</v>
      </c>
      <c r="AA3008" s="1">
        <v>5859509.4400000004</v>
      </c>
      <c r="AB3008" s="1" t="s">
        <v>2395</v>
      </c>
      <c r="AC3008" s="5">
        <v>43754</v>
      </c>
      <c r="AF3008" s="1">
        <v>10028</v>
      </c>
      <c r="AJ3008" s="1">
        <v>2019</v>
      </c>
      <c r="AK3008" s="1" t="s">
        <v>50</v>
      </c>
      <c r="AL3008" s="1">
        <v>29</v>
      </c>
    </row>
    <row r="3009" spans="1:38" x14ac:dyDescent="0.2">
      <c r="A3009" s="2" t="str">
        <f>HYPERLINK("https://www.compass.com/listing/324-east-4th-street-unit-4b-manhattan-ny-10009/380655710727024849/","324 E 4th St, Unit 4B")</f>
        <v>324 E 4th St, Unit 4B</v>
      </c>
      <c r="B3009" s="2" t="str">
        <f>HYPERLINK("https://www.compass.com/building/324-e-4th-st-manhattan-ny-10009/281899594583912869/","324 E 4th St")</f>
        <v>324 E 4th St</v>
      </c>
      <c r="C3009" s="1" t="s">
        <v>88</v>
      </c>
      <c r="D3009" s="1" t="s">
        <v>41</v>
      </c>
      <c r="E3009" s="3">
        <v>1034880</v>
      </c>
      <c r="F3009" s="1">
        <v>1760</v>
      </c>
      <c r="M3009" s="1">
        <v>588</v>
      </c>
      <c r="Q3009" s="1" t="s">
        <v>42</v>
      </c>
      <c r="S3009" s="1" t="s">
        <v>42</v>
      </c>
      <c r="T3009" s="1" t="s">
        <v>203</v>
      </c>
      <c r="AA3009" s="1">
        <v>1034880</v>
      </c>
      <c r="AB3009" s="1" t="s">
        <v>2396</v>
      </c>
      <c r="AC3009" s="5">
        <v>42677</v>
      </c>
      <c r="AF3009" s="1">
        <v>10009</v>
      </c>
      <c r="AI3009" s="1" t="s">
        <v>73</v>
      </c>
      <c r="AJ3009" s="1">
        <v>1920</v>
      </c>
      <c r="AL3009" s="1">
        <v>111</v>
      </c>
    </row>
    <row r="3010" spans="1:38" x14ac:dyDescent="0.2">
      <c r="A3010" s="2" t="str">
        <f>HYPERLINK("https://www.compass.com/listing/34-east-13th-street-unit-d-manhattan-ny-10003/380669958686852785/","34 E 13th St, Unit D")</f>
        <v>34 E 13th St, Unit D</v>
      </c>
      <c r="B3010" s="2" t="str">
        <f t="shared" ref="B3010:B3013" si="451">HYPERLINK("https://www.compass.com/building/34-e-13th-st-manhattan-ny-10003/344156397332654997/","34 E 13th St")</f>
        <v>34 E 13th St</v>
      </c>
      <c r="C3010" s="1" t="s">
        <v>2389</v>
      </c>
      <c r="D3010" s="1" t="s">
        <v>41</v>
      </c>
      <c r="E3010" s="3">
        <v>7295000</v>
      </c>
      <c r="F3010" s="1">
        <v>2387.1073298429301</v>
      </c>
      <c r="M3010" s="4">
        <v>3056</v>
      </c>
      <c r="Q3010" s="1" t="s">
        <v>42</v>
      </c>
      <c r="S3010" s="1" t="s">
        <v>42</v>
      </c>
      <c r="T3010" s="1" t="s">
        <v>203</v>
      </c>
      <c r="AA3010" s="1">
        <v>7295000</v>
      </c>
      <c r="AB3010" s="1" t="s">
        <v>2397</v>
      </c>
      <c r="AC3010" s="5">
        <v>43479</v>
      </c>
      <c r="AF3010" s="1">
        <v>10003</v>
      </c>
    </row>
    <row r="3011" spans="1:38" x14ac:dyDescent="0.2">
      <c r="A3011" s="2" t="str">
        <f>HYPERLINK("https://www.compass.com/listing/34-east-13th-street-unit-e-manhattan-ny-10003/380669959316434561/","34 E 13th St, Unit E")</f>
        <v>34 E 13th St, Unit E</v>
      </c>
      <c r="B3011" s="2" t="str">
        <f t="shared" si="451"/>
        <v>34 E 13th St</v>
      </c>
      <c r="C3011" s="1" t="s">
        <v>2389</v>
      </c>
      <c r="D3011" s="1" t="s">
        <v>41</v>
      </c>
      <c r="E3011" s="3">
        <v>9700000</v>
      </c>
      <c r="F3011" s="1">
        <v>159016.39344262201</v>
      </c>
      <c r="M3011" s="1">
        <v>61</v>
      </c>
      <c r="Q3011" s="1" t="s">
        <v>42</v>
      </c>
      <c r="S3011" s="1" t="s">
        <v>42</v>
      </c>
      <c r="T3011" s="1" t="s">
        <v>203</v>
      </c>
      <c r="AA3011" s="1">
        <v>9700000</v>
      </c>
      <c r="AB3011" s="1" t="s">
        <v>2398</v>
      </c>
      <c r="AC3011" s="5">
        <v>43483</v>
      </c>
      <c r="AF3011" s="1">
        <v>10003</v>
      </c>
    </row>
    <row r="3012" spans="1:38" x14ac:dyDescent="0.2">
      <c r="A3012" s="2" t="str">
        <f>HYPERLINK("https://www.compass.com/listing/34-east-13th-street-unit-b-manhattan-ny-10003/380669959918602065/","34 E 13th St, Unit B")</f>
        <v>34 E 13th St, Unit B</v>
      </c>
      <c r="B3012" s="2" t="str">
        <f t="shared" si="451"/>
        <v>34 E 13th St</v>
      </c>
      <c r="C3012" s="1" t="s">
        <v>2389</v>
      </c>
      <c r="D3012" s="1" t="s">
        <v>41</v>
      </c>
      <c r="E3012" s="3">
        <v>6275000</v>
      </c>
      <c r="F3012" s="1">
        <v>145930.23255813899</v>
      </c>
      <c r="M3012" s="1">
        <v>43</v>
      </c>
      <c r="Q3012" s="1" t="s">
        <v>42</v>
      </c>
      <c r="S3012" s="1" t="s">
        <v>42</v>
      </c>
      <c r="T3012" s="1" t="s">
        <v>203</v>
      </c>
      <c r="AA3012" s="1">
        <v>6275000</v>
      </c>
      <c r="AB3012" s="1" t="s">
        <v>2399</v>
      </c>
      <c r="AC3012" s="5">
        <v>43643</v>
      </c>
      <c r="AF3012" s="1">
        <v>10003</v>
      </c>
    </row>
    <row r="3013" spans="1:38" x14ac:dyDescent="0.2">
      <c r="A3013" s="2" t="str">
        <f>HYPERLINK("https://www.compass.com/listing/34-east-13th-street-unit-c-manhattan-ny-10003/380669960398226417/","34 E 13th St, Unit C")</f>
        <v>34 E 13th St, Unit C</v>
      </c>
      <c r="B3013" s="2" t="str">
        <f t="shared" si="451"/>
        <v>34 E 13th St</v>
      </c>
      <c r="C3013" s="1" t="s">
        <v>2389</v>
      </c>
      <c r="D3013" s="1" t="s">
        <v>41</v>
      </c>
      <c r="E3013" s="3">
        <v>6708000</v>
      </c>
      <c r="F3013" s="1">
        <v>2195.0261780104702</v>
      </c>
      <c r="M3013" s="4">
        <v>3056</v>
      </c>
      <c r="Q3013" s="1" t="s">
        <v>42</v>
      </c>
      <c r="S3013" s="1" t="s">
        <v>42</v>
      </c>
      <c r="T3013" s="1" t="s">
        <v>203</v>
      </c>
      <c r="AA3013" s="1">
        <v>6708000</v>
      </c>
      <c r="AB3013" s="1" t="s">
        <v>2400</v>
      </c>
      <c r="AC3013" s="5">
        <v>43619</v>
      </c>
      <c r="AF3013" s="1">
        <v>10003</v>
      </c>
    </row>
    <row r="3014" spans="1:38" x14ac:dyDescent="0.2">
      <c r="A3014" s="2" t="str">
        <f>HYPERLINK("https://www.compass.com/listing/301-west-53rd-street-unit-2j-manhattan-ny-10019/380715348403144817/","301 W 53rd St, Unit 2J")</f>
        <v>301 W 53rd St, Unit 2J</v>
      </c>
      <c r="B3014" s="2" t="str">
        <f t="shared" ref="B3014:B3017" si="452">HYPERLINK("https://www.compass.com/building/fifty-third-and-eighth-manhattan-ny/281944545158031557/","Fifty Third and Eighth")</f>
        <v>Fifty Third and Eighth</v>
      </c>
      <c r="C3014" s="1" t="s">
        <v>57</v>
      </c>
      <c r="D3014" s="1" t="s">
        <v>41</v>
      </c>
      <c r="E3014" s="3">
        <v>2379708</v>
      </c>
      <c r="F3014" s="1">
        <v>1769.2994200743401</v>
      </c>
      <c r="M3014" s="4">
        <v>1345</v>
      </c>
      <c r="Q3014" s="1" t="s">
        <v>42</v>
      </c>
      <c r="S3014" s="1" t="s">
        <v>42</v>
      </c>
      <c r="T3014" s="1" t="s">
        <v>203</v>
      </c>
      <c r="AA3014" s="1">
        <v>2379707.7200000002</v>
      </c>
      <c r="AB3014" s="1" t="s">
        <v>2401</v>
      </c>
      <c r="AC3014" s="5">
        <v>42424</v>
      </c>
      <c r="AF3014" s="1">
        <v>10019</v>
      </c>
      <c r="AI3014" s="1" t="s">
        <v>76</v>
      </c>
      <c r="AJ3014" s="1">
        <v>2017</v>
      </c>
      <c r="AK3014" s="1" t="s">
        <v>50</v>
      </c>
      <c r="AL3014" s="1">
        <v>248</v>
      </c>
    </row>
    <row r="3015" spans="1:38" x14ac:dyDescent="0.2">
      <c r="A3015" s="2" t="str">
        <f>HYPERLINK("https://www.compass.com/listing/301-west-53rd-street-unit-9i-manhattan-ny-10019/380715404457403761/","301 W 53rd St, Unit 9I")</f>
        <v>301 W 53rd St, Unit 9I</v>
      </c>
      <c r="B3015" s="2" t="str">
        <f t="shared" si="452"/>
        <v>Fifty Third and Eighth</v>
      </c>
      <c r="C3015" s="1" t="s">
        <v>57</v>
      </c>
      <c r="D3015" s="1" t="s">
        <v>41</v>
      </c>
      <c r="E3015" s="3">
        <v>1964894</v>
      </c>
      <c r="Q3015" s="1" t="s">
        <v>42</v>
      </c>
      <c r="S3015" s="1" t="s">
        <v>42</v>
      </c>
      <c r="T3015" s="1" t="s">
        <v>203</v>
      </c>
      <c r="AA3015" s="1">
        <v>1964893.62</v>
      </c>
      <c r="AB3015" s="1" t="s">
        <v>2402</v>
      </c>
      <c r="AC3015" s="5">
        <v>42452</v>
      </c>
      <c r="AF3015" s="1">
        <v>10019</v>
      </c>
      <c r="AI3015" s="1" t="s">
        <v>76</v>
      </c>
      <c r="AJ3015" s="1">
        <v>2017</v>
      </c>
      <c r="AK3015" s="1" t="s">
        <v>50</v>
      </c>
      <c r="AL3015" s="1">
        <v>248</v>
      </c>
    </row>
    <row r="3016" spans="1:38" x14ac:dyDescent="0.2">
      <c r="A3016" s="2" t="str">
        <f>HYPERLINK("https://www.compass.com/listing/301-west-53rd-street-unit-18d-manhattan-ny-10019/380715469318122433/","301 W 53rd St, Unit 18D")</f>
        <v>301 W 53rd St, Unit 18D</v>
      </c>
      <c r="B3016" s="2" t="str">
        <f t="shared" si="452"/>
        <v>Fifty Third and Eighth</v>
      </c>
      <c r="C3016" s="1" t="s">
        <v>57</v>
      </c>
      <c r="D3016" s="1" t="s">
        <v>41</v>
      </c>
      <c r="E3016" s="3">
        <v>3152894</v>
      </c>
      <c r="Q3016" s="1" t="s">
        <v>42</v>
      </c>
      <c r="S3016" s="1" t="s">
        <v>42</v>
      </c>
      <c r="T3016" s="1" t="s">
        <v>203</v>
      </c>
      <c r="AA3016" s="1">
        <v>3152894.24</v>
      </c>
      <c r="AB3016" s="1" t="s">
        <v>2403</v>
      </c>
      <c r="AC3016" s="5">
        <v>42397</v>
      </c>
      <c r="AF3016" s="1">
        <v>10019</v>
      </c>
      <c r="AI3016" s="1" t="s">
        <v>76</v>
      </c>
      <c r="AJ3016" s="1">
        <v>2017</v>
      </c>
      <c r="AK3016" s="1" t="s">
        <v>50</v>
      </c>
      <c r="AL3016" s="1">
        <v>248</v>
      </c>
    </row>
    <row r="3017" spans="1:38" x14ac:dyDescent="0.2">
      <c r="A3017" s="2" t="str">
        <f>HYPERLINK("https://www.compass.com/listing/301-west-53rd-street-unit-19i-manhattan-ny-10019/380715480835467761/","301 W 53rd St, Unit 19I")</f>
        <v>301 W 53rd St, Unit 19I</v>
      </c>
      <c r="B3017" s="2" t="str">
        <f t="shared" si="452"/>
        <v>Fifty Third and Eighth</v>
      </c>
      <c r="C3017" s="1" t="s">
        <v>57</v>
      </c>
      <c r="D3017" s="1" t="s">
        <v>41</v>
      </c>
      <c r="E3017" s="3">
        <v>2444494</v>
      </c>
      <c r="F3017" s="1">
        <v>1817.4677546468399</v>
      </c>
      <c r="M3017" s="4">
        <v>1345</v>
      </c>
      <c r="Q3017" s="1" t="s">
        <v>42</v>
      </c>
      <c r="S3017" s="1" t="s">
        <v>42</v>
      </c>
      <c r="T3017" s="1" t="s">
        <v>203</v>
      </c>
      <c r="AA3017" s="1">
        <v>2444494.13</v>
      </c>
      <c r="AB3017" s="1" t="s">
        <v>2404</v>
      </c>
      <c r="AC3017" s="5">
        <v>42488</v>
      </c>
      <c r="AF3017" s="1">
        <v>10019</v>
      </c>
      <c r="AI3017" s="1" t="s">
        <v>76</v>
      </c>
      <c r="AJ3017" s="1">
        <v>2017</v>
      </c>
      <c r="AK3017" s="1" t="s">
        <v>50</v>
      </c>
      <c r="AL3017" s="1">
        <v>248</v>
      </c>
    </row>
    <row r="3018" spans="1:38" x14ac:dyDescent="0.2">
      <c r="A3018" s="2" t="str">
        <f>HYPERLINK("https://www.compass.com/listing/184-east-64th-street-unit-c-manhattan-ny-10065/380765500453121169/","184 E 64th St, Unit C")</f>
        <v>184 E 64th St, Unit C</v>
      </c>
      <c r="B3018" s="2" t="str">
        <f>HYPERLINK("https://www.compass.com/building/the-gianna-manhattan-ny/282037412736026565/","The Gianna")</f>
        <v>The Gianna</v>
      </c>
      <c r="C3018" s="1" t="s">
        <v>53</v>
      </c>
      <c r="D3018" s="1" t="s">
        <v>41</v>
      </c>
      <c r="E3018" s="3">
        <v>7125000</v>
      </c>
      <c r="Q3018" s="1" t="s">
        <v>42</v>
      </c>
      <c r="S3018" s="1" t="s">
        <v>42</v>
      </c>
      <c r="T3018" s="1" t="s">
        <v>203</v>
      </c>
      <c r="AA3018" s="1">
        <v>7125000</v>
      </c>
      <c r="AB3018" s="1" t="s">
        <v>2405</v>
      </c>
      <c r="AC3018" s="5">
        <v>42153</v>
      </c>
      <c r="AF3018" s="1">
        <v>10065</v>
      </c>
      <c r="AI3018" s="1" t="s">
        <v>73</v>
      </c>
      <c r="AJ3018" s="1">
        <v>2017</v>
      </c>
      <c r="AL3018" s="1">
        <v>5</v>
      </c>
    </row>
    <row r="3019" spans="1:38" x14ac:dyDescent="0.2">
      <c r="A3019" s="2" t="str">
        <f>HYPERLINK("https://www.compass.com/listing/131-west-122nd-street-unit-garb-manhattan-ny-10027/380808175407256273/","131 W 122nd St, Unit GARB")</f>
        <v>131 W 122nd St, Unit GARB</v>
      </c>
      <c r="B3019" s="2" t="str">
        <f>HYPERLINK("https://www.compass.com/building/131-w-122nd-st-manhattan-ny-10027/281978369350923893/","131 W 122nd St")</f>
        <v>131 W 122nd St</v>
      </c>
      <c r="C3019" s="1" t="s">
        <v>131</v>
      </c>
      <c r="D3019" s="1" t="s">
        <v>41</v>
      </c>
      <c r="E3019" s="3">
        <v>899000</v>
      </c>
      <c r="F3019" s="1">
        <v>736.885245901639</v>
      </c>
      <c r="M3019" s="4">
        <v>1220</v>
      </c>
      <c r="Q3019" s="1" t="s">
        <v>42</v>
      </c>
      <c r="S3019" s="1" t="s">
        <v>42</v>
      </c>
      <c r="T3019" s="1" t="s">
        <v>203</v>
      </c>
      <c r="AA3019" s="1">
        <v>899000</v>
      </c>
      <c r="AB3019" s="1" t="s">
        <v>2406</v>
      </c>
      <c r="AC3019" s="5">
        <v>42891</v>
      </c>
      <c r="AF3019" s="1">
        <v>10027</v>
      </c>
      <c r="AI3019" s="1" t="s">
        <v>58</v>
      </c>
      <c r="AJ3019" s="1">
        <v>1910</v>
      </c>
      <c r="AL3019" s="1">
        <v>10</v>
      </c>
    </row>
    <row r="3020" spans="1:38" x14ac:dyDescent="0.2">
      <c r="A3020" s="2" t="str">
        <f>HYPERLINK("https://www.compass.com/listing/139-west-126th-street-unit-1a-manhattan-ny-10027/380808309046173825/","139 W 126th St, Unit 1A")</f>
        <v>139 W 126th St, Unit 1A</v>
      </c>
      <c r="B3020" s="2" t="str">
        <f t="shared" ref="B3020:B3021" si="453">HYPERLINK("https://www.compass.com/building/139-w-126th-st-manhattan-ny-10027/281978594853484453/","139 W 126th St")</f>
        <v>139 W 126th St</v>
      </c>
      <c r="C3020" s="1" t="s">
        <v>145</v>
      </c>
      <c r="D3020" s="1" t="s">
        <v>41</v>
      </c>
      <c r="E3020" s="3">
        <v>1185243</v>
      </c>
      <c r="F3020" s="1">
        <v>51532.304347826001</v>
      </c>
      <c r="M3020" s="1">
        <v>23</v>
      </c>
      <c r="Q3020" s="1" t="s">
        <v>42</v>
      </c>
      <c r="S3020" s="1" t="s">
        <v>42</v>
      </c>
      <c r="T3020" s="1" t="s">
        <v>203</v>
      </c>
      <c r="AA3020" s="1">
        <v>1185243</v>
      </c>
      <c r="AB3020" s="1" t="s">
        <v>2407</v>
      </c>
      <c r="AC3020" s="5">
        <v>42605</v>
      </c>
      <c r="AF3020" s="1">
        <v>10027</v>
      </c>
      <c r="AI3020" s="1" t="s">
        <v>52</v>
      </c>
      <c r="AJ3020" s="1">
        <v>1910</v>
      </c>
      <c r="AL3020" s="1">
        <v>4</v>
      </c>
    </row>
    <row r="3021" spans="1:38" x14ac:dyDescent="0.2">
      <c r="A3021" s="2" t="str">
        <f>HYPERLINK("https://www.compass.com/listing/139-west-126th-street-unit-gar-b-manhattan-ny-10027/380808312341034273/","139 W 126th St, Unit GAR B")</f>
        <v>139 W 126th St, Unit GAR B</v>
      </c>
      <c r="B3021" s="2" t="str">
        <f t="shared" si="453"/>
        <v>139 W 126th St</v>
      </c>
      <c r="C3021" s="1" t="s">
        <v>145</v>
      </c>
      <c r="D3021" s="1" t="s">
        <v>41</v>
      </c>
      <c r="E3021" s="3">
        <v>1149604</v>
      </c>
      <c r="F3021" s="1">
        <v>825.86512212643595</v>
      </c>
      <c r="M3021" s="4">
        <v>1392</v>
      </c>
      <c r="Q3021" s="1" t="s">
        <v>42</v>
      </c>
      <c r="S3021" s="1" t="s">
        <v>42</v>
      </c>
      <c r="T3021" s="1" t="s">
        <v>203</v>
      </c>
      <c r="AA3021" s="1">
        <v>1149604.25</v>
      </c>
      <c r="AB3021" s="1" t="s">
        <v>2408</v>
      </c>
      <c r="AC3021" s="5">
        <v>42565</v>
      </c>
      <c r="AF3021" s="1">
        <v>10027</v>
      </c>
      <c r="AI3021" s="1" t="s">
        <v>52</v>
      </c>
      <c r="AJ3021" s="1">
        <v>1910</v>
      </c>
      <c r="AL3021" s="1">
        <v>4</v>
      </c>
    </row>
    <row r="3022" spans="1:38" x14ac:dyDescent="0.2">
      <c r="A3022" s="2" t="str">
        <f>HYPERLINK("https://www.compass.com/listing/210-bowery-unit-2nd-f-manhattan-ny-10012/396076621328329601/","210 Bowery, Unit 2ND F")</f>
        <v>210 Bowery, Unit 2ND F</v>
      </c>
      <c r="B3022" s="2" t="str">
        <f>HYPERLINK("https://www.compass.com/building/210-bowery-manhattan-ny-10012/281914022184383861/","210 Bowery")</f>
        <v>210 Bowery</v>
      </c>
      <c r="C3022" s="1" t="s">
        <v>118</v>
      </c>
      <c r="D3022" s="1" t="s">
        <v>41</v>
      </c>
      <c r="E3022" s="3">
        <v>3200000</v>
      </c>
      <c r="F3022" s="1">
        <v>1921.9219219219201</v>
      </c>
      <c r="M3022" s="4">
        <v>1665</v>
      </c>
      <c r="Q3022" s="1" t="s">
        <v>42</v>
      </c>
      <c r="S3022" s="1" t="s">
        <v>42</v>
      </c>
      <c r="T3022" s="1" t="s">
        <v>203</v>
      </c>
      <c r="AA3022" s="1">
        <v>3200000</v>
      </c>
      <c r="AB3022" s="1" t="s">
        <v>2409</v>
      </c>
      <c r="AC3022" s="5">
        <v>43776</v>
      </c>
      <c r="AF3022" s="1">
        <v>10012</v>
      </c>
      <c r="AI3022" s="1" t="s">
        <v>45</v>
      </c>
      <c r="AJ3022" s="1">
        <v>2016</v>
      </c>
      <c r="AL3022" s="1">
        <v>7</v>
      </c>
    </row>
    <row r="3023" spans="1:38" x14ac:dyDescent="0.2">
      <c r="A3023" s="2" t="str">
        <f>HYPERLINK("https://www.compass.com/listing/275-west-10th-street-unit-md-manhattan-ny-10014/396078768788533073/","275 W 10th St, Unit MD")</f>
        <v>275 W 10th St, Unit MD</v>
      </c>
      <c r="B3023" s="2" t="str">
        <f>HYPERLINK("https://www.compass.com/building/the-shephard-manhattan-ny/281931968864632917/","The Shephard")</f>
        <v>The Shephard</v>
      </c>
      <c r="C3023" s="1" t="s">
        <v>68</v>
      </c>
      <c r="D3023" s="1" t="s">
        <v>41</v>
      </c>
      <c r="E3023" s="3">
        <v>1100000</v>
      </c>
      <c r="F3023" s="1">
        <v>2240.3258655804402</v>
      </c>
      <c r="M3023" s="1">
        <v>491</v>
      </c>
      <c r="Q3023" s="1" t="s">
        <v>42</v>
      </c>
      <c r="S3023" s="1" t="s">
        <v>42</v>
      </c>
      <c r="T3023" s="1" t="s">
        <v>203</v>
      </c>
      <c r="AA3023" s="1">
        <v>1100000</v>
      </c>
      <c r="AB3023" s="1" t="s">
        <v>2410</v>
      </c>
      <c r="AC3023" s="5">
        <v>43789</v>
      </c>
      <c r="AF3023" s="1">
        <v>10014</v>
      </c>
      <c r="AI3023" s="1" t="s">
        <v>67</v>
      </c>
      <c r="AJ3023" s="1">
        <v>2015</v>
      </c>
      <c r="AK3023" s="1" t="s">
        <v>55</v>
      </c>
      <c r="AL3023" s="1">
        <v>38</v>
      </c>
    </row>
    <row r="3024" spans="1:38" x14ac:dyDescent="0.2">
      <c r="A3024" s="2" t="str">
        <f>HYPERLINK("https://www.compass.com/listing/101-west-78th-street-unit-3c-manhattan-ny-10024/399564495199301393/","101 W 78th St, Unit 3C")</f>
        <v>101 W 78th St, Unit 3C</v>
      </c>
      <c r="B3024" s="2" t="str">
        <f>HYPERLINK("https://www.compass.com/building/101-w-78th-st-manhattan-ny-10024/281961405798754085/","101 W 78th St")</f>
        <v>101 W 78th St</v>
      </c>
      <c r="C3024" s="1" t="s">
        <v>47</v>
      </c>
      <c r="D3024" s="1" t="s">
        <v>41</v>
      </c>
      <c r="E3024" s="3">
        <v>1683363</v>
      </c>
      <c r="F3024" s="1">
        <v>1105.2938279711</v>
      </c>
      <c r="M3024" s="4">
        <v>1523</v>
      </c>
      <c r="Q3024" s="1" t="s">
        <v>42</v>
      </c>
      <c r="S3024" s="1" t="s">
        <v>42</v>
      </c>
      <c r="T3024" s="1" t="s">
        <v>203</v>
      </c>
      <c r="AA3024" s="1">
        <v>1683362.5</v>
      </c>
      <c r="AB3024" s="1" t="s">
        <v>2411</v>
      </c>
      <c r="AC3024" s="5">
        <v>43755</v>
      </c>
      <c r="AF3024" s="1">
        <v>10024</v>
      </c>
      <c r="AJ3024" s="1">
        <v>1886</v>
      </c>
      <c r="AK3024" s="1" t="s">
        <v>55</v>
      </c>
      <c r="AL3024" s="1">
        <v>21</v>
      </c>
    </row>
    <row r="3025" spans="1:38" x14ac:dyDescent="0.2">
      <c r="A3025" s="2" t="str">
        <f>HYPERLINK("https://www.compass.com/listing/91-leonard-street-unit-16e-manhattan-ny-10013/411293835278774369/","91 Leonard St, Unit 16E")</f>
        <v>91 Leonard St, Unit 16E</v>
      </c>
      <c r="B3025" s="2" t="str">
        <f>HYPERLINK("https://www.compass.com/building/91-leonard-manhattan-ny/282058661633754165/","91 Leonard")</f>
        <v>91 Leonard</v>
      </c>
      <c r="C3025" s="1" t="s">
        <v>40</v>
      </c>
      <c r="D3025" s="1" t="s">
        <v>41</v>
      </c>
      <c r="E3025" s="3">
        <v>4503200</v>
      </c>
      <c r="F3025" s="1">
        <v>2375.1054852320599</v>
      </c>
      <c r="M3025" s="4">
        <v>1896</v>
      </c>
      <c r="Q3025" s="1" t="s">
        <v>42</v>
      </c>
      <c r="S3025" s="1" t="s">
        <v>42</v>
      </c>
      <c r="T3025" s="1" t="s">
        <v>203</v>
      </c>
      <c r="AA3025" s="1">
        <v>4503200</v>
      </c>
      <c r="AB3025" s="1" t="s">
        <v>2412</v>
      </c>
      <c r="AC3025" s="5">
        <v>43808</v>
      </c>
      <c r="AF3025" s="1">
        <v>10013</v>
      </c>
      <c r="AI3025" s="1" t="s">
        <v>52</v>
      </c>
      <c r="AJ3025" s="1">
        <v>2016</v>
      </c>
      <c r="AK3025" s="1" t="s">
        <v>46</v>
      </c>
      <c r="AL3025" s="1">
        <v>111</v>
      </c>
    </row>
    <row r="3026" spans="1:38" x14ac:dyDescent="0.2">
      <c r="A3026" s="2" t="str">
        <f>HYPERLINK("https://www.compass.com/listing/253-east-7th-street-unit-8-manhattan-ny-10009/413468946152887249/","253 E 7th St, Unit 8")</f>
        <v>253 E 7th St, Unit 8</v>
      </c>
      <c r="B3026" s="2" t="str">
        <f>HYPERLINK("https://www.compass.com/building/253-e-7th-st-manhattan-ny-10009/281899070816005877/","253 E 7th St")</f>
        <v>253 E 7th St</v>
      </c>
      <c r="C3026" s="1" t="s">
        <v>88</v>
      </c>
      <c r="D3026" s="1" t="s">
        <v>41</v>
      </c>
      <c r="E3026" s="3">
        <v>3000000</v>
      </c>
      <c r="F3026" s="1">
        <v>1739.1304347826001</v>
      </c>
      <c r="M3026" s="4">
        <v>1725</v>
      </c>
      <c r="Q3026" s="1" t="s">
        <v>42</v>
      </c>
      <c r="S3026" s="1" t="s">
        <v>42</v>
      </c>
      <c r="T3026" s="1" t="s">
        <v>203</v>
      </c>
      <c r="AA3026" s="1">
        <v>3000000</v>
      </c>
      <c r="AB3026" s="1" t="s">
        <v>2413</v>
      </c>
      <c r="AC3026" s="5">
        <v>43809</v>
      </c>
      <c r="AF3026" s="1">
        <v>10009</v>
      </c>
      <c r="AI3026" s="1" t="s">
        <v>73</v>
      </c>
      <c r="AJ3026" s="1">
        <v>2018</v>
      </c>
      <c r="AL3026" s="1">
        <v>7</v>
      </c>
    </row>
    <row r="3027" spans="1:38" x14ac:dyDescent="0.2">
      <c r="A3027" s="2" t="str">
        <f>HYPERLINK("https://www.compass.com/listing/1399-park-avenue-unit-11e-manhattan-ny-10029/420012500081832913/","1399 Park Ave, Unit 11E")</f>
        <v>1399 Park Ave, Unit 11E</v>
      </c>
      <c r="B3027" s="2" t="str">
        <f>HYPERLINK("https://www.compass.com/building/1399-park-manhattan-ny/281988559521557189/","1399 Park")</f>
        <v>1399 Park</v>
      </c>
      <c r="C3027" s="1" t="s">
        <v>82</v>
      </c>
      <c r="D3027" s="1" t="s">
        <v>41</v>
      </c>
      <c r="E3027" s="3">
        <v>895615</v>
      </c>
      <c r="F3027" s="1">
        <v>1270.3763687943199</v>
      </c>
      <c r="M3027" s="1">
        <v>705</v>
      </c>
      <c r="Q3027" s="1" t="s">
        <v>42</v>
      </c>
      <c r="S3027" s="1" t="s">
        <v>42</v>
      </c>
      <c r="T3027" s="1" t="s">
        <v>203</v>
      </c>
      <c r="AA3027" s="1">
        <v>895615.34</v>
      </c>
      <c r="AB3027" s="1" t="s">
        <v>2414</v>
      </c>
      <c r="AC3027" s="5">
        <v>43817</v>
      </c>
      <c r="AF3027" s="1">
        <v>10029</v>
      </c>
      <c r="AI3027" s="1" t="s">
        <v>52</v>
      </c>
      <c r="AJ3027" s="1">
        <v>2019</v>
      </c>
      <c r="AK3027" s="1" t="s">
        <v>55</v>
      </c>
      <c r="AL3027" s="1">
        <v>72</v>
      </c>
    </row>
    <row r="3028" spans="1:38" x14ac:dyDescent="0.2">
      <c r="A3028" s="2" t="str">
        <f>HYPERLINK("https://www.compass.com/listing/346-west-71st-street-unit-5c-manhattan-ny-10023/423626780618528689/","346 W 71st St, Unit 5C")</f>
        <v>346 W 71st St, Unit 5C</v>
      </c>
      <c r="B3028" s="2" t="str">
        <f>HYPERLINK("https://www.compass.com/building/346-w-71st-st-manhattan-ny-10023/293534968154524325/","346 W 71st St")</f>
        <v>346 W 71st St</v>
      </c>
      <c r="C3028" s="1" t="s">
        <v>47</v>
      </c>
      <c r="D3028" s="1" t="s">
        <v>41</v>
      </c>
      <c r="E3028" s="3">
        <v>2490000</v>
      </c>
      <c r="F3028" s="1">
        <v>1672.2632639355199</v>
      </c>
      <c r="M3028" s="4">
        <v>1489</v>
      </c>
      <c r="Q3028" s="1" t="s">
        <v>42</v>
      </c>
      <c r="S3028" s="1" t="s">
        <v>42</v>
      </c>
      <c r="T3028" s="1" t="s">
        <v>203</v>
      </c>
      <c r="AA3028" s="1">
        <v>2490000</v>
      </c>
      <c r="AB3028" s="1" t="s">
        <v>2415</v>
      </c>
      <c r="AC3028" s="5">
        <v>43826</v>
      </c>
      <c r="AF3028" s="1">
        <v>10023</v>
      </c>
      <c r="AJ3028" s="1">
        <v>1900</v>
      </c>
      <c r="AL3028" s="1">
        <v>1</v>
      </c>
    </row>
    <row r="3029" spans="1:38" x14ac:dyDescent="0.2">
      <c r="A3029" s="2" t="str">
        <f>HYPERLINK("https://www.compass.com/listing/308-west-30th-street-unit-11a-manhattan-ny-10001/424912855208847265/","308 W 30th St, Unit 11A")</f>
        <v>308 W 30th St, Unit 11A</v>
      </c>
      <c r="B3029" s="2" t="str">
        <f t="shared" ref="B3029:B3030" si="454">HYPERLINK("https://www.compass.com/building/the-irvin-house-manhattan-ny/281883290133070869/","The Irvin House")</f>
        <v>The Irvin House</v>
      </c>
      <c r="C3029" s="1" t="s">
        <v>62</v>
      </c>
      <c r="D3029" s="1" t="s">
        <v>41</v>
      </c>
      <c r="E3029" s="3">
        <v>1075000</v>
      </c>
      <c r="F3029" s="1">
        <v>1383.52638352638</v>
      </c>
      <c r="M3029" s="1">
        <v>777</v>
      </c>
      <c r="Q3029" s="1" t="s">
        <v>42</v>
      </c>
      <c r="S3029" s="1" t="s">
        <v>42</v>
      </c>
      <c r="T3029" s="1" t="s">
        <v>203</v>
      </c>
      <c r="AA3029" s="1">
        <v>1075000</v>
      </c>
      <c r="AB3029" s="1" t="s">
        <v>2416</v>
      </c>
      <c r="AC3029" s="5">
        <v>43788</v>
      </c>
      <c r="AF3029" s="1">
        <v>10001</v>
      </c>
      <c r="AI3029" s="1" t="s">
        <v>73</v>
      </c>
      <c r="AJ3029" s="1">
        <v>1925</v>
      </c>
      <c r="AL3029" s="1">
        <v>61</v>
      </c>
    </row>
    <row r="3030" spans="1:38" x14ac:dyDescent="0.2">
      <c r="A3030" s="2" t="str">
        <f>HYPERLINK("https://www.compass.com/listing/308-west-30th-street-unit-11b-manhattan-ny-10001/424912856005874209/","308 W 30th St, Unit 11B")</f>
        <v>308 W 30th St, Unit 11B</v>
      </c>
      <c r="B3030" s="2" t="str">
        <f t="shared" si="454"/>
        <v>The Irvin House</v>
      </c>
      <c r="C3030" s="1" t="s">
        <v>62</v>
      </c>
      <c r="D3030" s="1" t="s">
        <v>41</v>
      </c>
      <c r="E3030" s="3">
        <v>1515201</v>
      </c>
      <c r="F3030" s="1">
        <v>1613.6327902023399</v>
      </c>
      <c r="M3030" s="1">
        <v>939</v>
      </c>
      <c r="Q3030" s="1" t="s">
        <v>42</v>
      </c>
      <c r="S3030" s="1" t="s">
        <v>42</v>
      </c>
      <c r="T3030" s="1" t="s">
        <v>203</v>
      </c>
      <c r="AA3030" s="1">
        <v>1515201.19</v>
      </c>
      <c r="AB3030" s="1" t="s">
        <v>2417</v>
      </c>
      <c r="AC3030" s="5">
        <v>43791</v>
      </c>
      <c r="AF3030" s="1">
        <v>10001</v>
      </c>
      <c r="AI3030" s="1" t="s">
        <v>73</v>
      </c>
      <c r="AJ3030" s="1">
        <v>1925</v>
      </c>
      <c r="AL3030" s="1">
        <v>61</v>
      </c>
    </row>
    <row r="3031" spans="1:38" x14ac:dyDescent="0.2">
      <c r="A3031" s="2" t="str">
        <f>HYPERLINK("https://www.compass.com/listing/301-west-53rd-street-unit-13g-manhattan-ny-10019/424917440982115793/","301 W 53rd St, Unit 13G")</f>
        <v>301 W 53rd St, Unit 13G</v>
      </c>
      <c r="B3031" s="2" t="str">
        <f>HYPERLINK("https://www.compass.com/building/fifty-third-and-eighth-manhattan-ny/281944545158031557/","Fifty Third and Eighth")</f>
        <v>Fifty Third and Eighth</v>
      </c>
      <c r="C3031" s="1" t="s">
        <v>57</v>
      </c>
      <c r="D3031" s="1" t="s">
        <v>41</v>
      </c>
      <c r="E3031" s="3">
        <v>2209233</v>
      </c>
      <c r="F3031" s="1">
        <v>1642.5521635687701</v>
      </c>
      <c r="M3031" s="4">
        <v>1345</v>
      </c>
      <c r="Q3031" s="1" t="s">
        <v>42</v>
      </c>
      <c r="S3031" s="1" t="s">
        <v>42</v>
      </c>
      <c r="T3031" s="1" t="s">
        <v>203</v>
      </c>
      <c r="AA3031" s="1">
        <v>2209232.66</v>
      </c>
      <c r="AB3031" s="1" t="s">
        <v>2418</v>
      </c>
      <c r="AC3031" s="5">
        <v>43753</v>
      </c>
      <c r="AF3031" s="1">
        <v>10019</v>
      </c>
      <c r="AI3031" s="1" t="s">
        <v>76</v>
      </c>
      <c r="AJ3031" s="1">
        <v>2017</v>
      </c>
      <c r="AK3031" s="1" t="s">
        <v>50</v>
      </c>
      <c r="AL3031" s="1">
        <v>248</v>
      </c>
    </row>
    <row r="3032" spans="1:38" x14ac:dyDescent="0.2">
      <c r="A3032" s="2" t="str">
        <f>HYPERLINK("https://www.compass.com/listing/200-east-62nd-street-unit-8c-manhattan-ny-10065/424926146547344193/","200 E 62nd St, Unit 8C")</f>
        <v>200 E 62nd St, Unit 8C</v>
      </c>
      <c r="B3032" s="2" t="str">
        <f>HYPERLINK("https://www.compass.com/building/200-e-62-manhattan-ny/282037506914928197/","200 E 62")</f>
        <v>200 E 62</v>
      </c>
      <c r="C3032" s="1" t="s">
        <v>53</v>
      </c>
      <c r="D3032" s="1" t="s">
        <v>41</v>
      </c>
      <c r="E3032" s="3">
        <v>902934</v>
      </c>
      <c r="F3032" s="1">
        <v>783.797039930555</v>
      </c>
      <c r="M3032" s="4">
        <v>1152</v>
      </c>
      <c r="Q3032" s="1" t="s">
        <v>42</v>
      </c>
      <c r="S3032" s="1" t="s">
        <v>42</v>
      </c>
      <c r="T3032" s="1" t="s">
        <v>203</v>
      </c>
      <c r="AA3032" s="1">
        <v>902934.19</v>
      </c>
      <c r="AB3032" s="1" t="s">
        <v>2419</v>
      </c>
      <c r="AC3032" s="5">
        <v>43775</v>
      </c>
      <c r="AF3032" s="1">
        <v>10065</v>
      </c>
      <c r="AI3032" s="1" t="s">
        <v>156</v>
      </c>
      <c r="AJ3032" s="1">
        <v>1967</v>
      </c>
      <c r="AK3032" s="1" t="s">
        <v>50</v>
      </c>
      <c r="AL3032" s="1">
        <v>113</v>
      </c>
    </row>
    <row r="3033" spans="1:38" x14ac:dyDescent="0.2">
      <c r="A3033" s="2" t="str">
        <f>HYPERLINK("https://www.compass.com/listing/40-east-end-avenue-unit-4a-manhattan-ny-10028/424930321907725825/","40 E End Ave, Unit 4A")</f>
        <v>40 E End Ave, Unit 4A</v>
      </c>
      <c r="B3033" s="2" t="str">
        <f>HYPERLINK("https://www.compass.com/building/40-e-end-ave-manhattan-ny-10028/281986569399806037/","40 E End Ave")</f>
        <v>40 E End Ave</v>
      </c>
      <c r="C3033" s="1" t="s">
        <v>53</v>
      </c>
      <c r="D3033" s="1" t="s">
        <v>41</v>
      </c>
      <c r="E3033" s="3">
        <v>5182373</v>
      </c>
      <c r="F3033" s="1">
        <v>2428.4785332708502</v>
      </c>
      <c r="H3033" s="1">
        <v>3</v>
      </c>
      <c r="J3033" s="1">
        <v>3.5</v>
      </c>
      <c r="M3033" s="4">
        <v>2134</v>
      </c>
      <c r="N3033" s="1">
        <v>2280</v>
      </c>
      <c r="O3033" s="1">
        <v>4342</v>
      </c>
      <c r="P3033" s="1">
        <v>2062</v>
      </c>
      <c r="Q3033" s="1" t="s">
        <v>42</v>
      </c>
      <c r="S3033" s="1" t="s">
        <v>42</v>
      </c>
      <c r="T3033" s="1" t="s">
        <v>203</v>
      </c>
      <c r="AA3033" s="1">
        <v>5182373.1900000004</v>
      </c>
      <c r="AB3033" s="1" t="s">
        <v>2420</v>
      </c>
      <c r="AC3033" s="5">
        <v>43735</v>
      </c>
      <c r="AF3033" s="1">
        <v>10028</v>
      </c>
      <c r="AJ3033" s="1">
        <v>2019</v>
      </c>
      <c r="AK3033" s="1" t="s">
        <v>50</v>
      </c>
      <c r="AL3033" s="1">
        <v>29</v>
      </c>
    </row>
    <row r="3034" spans="1:38" x14ac:dyDescent="0.2">
      <c r="A3034" s="2" t="str">
        <f>HYPERLINK("https://www.compass.com/listing/346-west-71st-street-unit-4c-manhattan-ny-10023/435471936286932641/","346 W 71st St, Unit 4C")</f>
        <v>346 W 71st St, Unit 4C</v>
      </c>
      <c r="B3034" s="2" t="str">
        <f t="shared" ref="B3034:B3035" si="455">HYPERLINK("https://www.compass.com/building/346-w-71st-st-manhattan-ny-10023/293534968154524325/","346 W 71st St")</f>
        <v>346 W 71st St</v>
      </c>
      <c r="C3034" s="1" t="s">
        <v>47</v>
      </c>
      <c r="D3034" s="1" t="s">
        <v>41</v>
      </c>
      <c r="E3034" s="3">
        <v>2419871</v>
      </c>
      <c r="F3034" s="1">
        <v>1625.16529885829</v>
      </c>
      <c r="M3034" s="4">
        <v>1489</v>
      </c>
      <c r="Q3034" s="1" t="s">
        <v>42</v>
      </c>
      <c r="S3034" s="1" t="s">
        <v>42</v>
      </c>
      <c r="T3034" s="1" t="s">
        <v>203</v>
      </c>
      <c r="AA3034" s="1">
        <v>2419871.13</v>
      </c>
      <c r="AB3034" s="1" t="s">
        <v>2421</v>
      </c>
      <c r="AC3034" s="5">
        <v>43822</v>
      </c>
      <c r="AF3034" s="1">
        <v>10023</v>
      </c>
      <c r="AJ3034" s="1">
        <v>1900</v>
      </c>
      <c r="AL3034" s="1">
        <v>1</v>
      </c>
    </row>
    <row r="3035" spans="1:38" x14ac:dyDescent="0.2">
      <c r="A3035" s="2" t="str">
        <f>HYPERLINK("https://www.compass.com/listing/346-west-71st-street-unit-3a-manhattan-ny-10023/437074806530187049/","346 W 71st St, Unit 3A")</f>
        <v>346 W 71st St, Unit 3A</v>
      </c>
      <c r="B3035" s="2" t="str">
        <f t="shared" si="455"/>
        <v>346 W 71st St</v>
      </c>
      <c r="C3035" s="1" t="s">
        <v>47</v>
      </c>
      <c r="D3035" s="1" t="s">
        <v>41</v>
      </c>
      <c r="E3035" s="3">
        <v>1848124</v>
      </c>
      <c r="F3035" s="1">
        <v>1848.12375</v>
      </c>
      <c r="M3035" s="4">
        <v>1000</v>
      </c>
      <c r="Q3035" s="1" t="s">
        <v>42</v>
      </c>
      <c r="S3035" s="1" t="s">
        <v>42</v>
      </c>
      <c r="T3035" s="1" t="s">
        <v>203</v>
      </c>
      <c r="AA3035" s="1">
        <v>1848123.75</v>
      </c>
      <c r="AB3035" s="1" t="s">
        <v>2422</v>
      </c>
      <c r="AC3035" s="5">
        <v>43836</v>
      </c>
      <c r="AF3035" s="1">
        <v>10023</v>
      </c>
      <c r="AJ3035" s="1">
        <v>1900</v>
      </c>
      <c r="AL3035" s="1">
        <v>1</v>
      </c>
    </row>
    <row r="3036" spans="1:38" x14ac:dyDescent="0.2">
      <c r="A3036" s="2" t="str">
        <f>HYPERLINK("https://www.compass.com/listing/91-leonard-street-unit-6g-manhattan-ny-10013/437119192962092617/","91 Leonard St, Unit 6G")</f>
        <v>91 Leonard St, Unit 6G</v>
      </c>
      <c r="B3036" s="2" t="str">
        <f>HYPERLINK("https://www.compass.com/building/91-leonard-manhattan-ny/282058661633754165/","91 Leonard")</f>
        <v>91 Leonard</v>
      </c>
      <c r="C3036" s="1" t="s">
        <v>40</v>
      </c>
      <c r="D3036" s="1" t="s">
        <v>41</v>
      </c>
      <c r="E3036" s="3">
        <v>2732168</v>
      </c>
      <c r="F3036" s="1">
        <v>170760.52499999999</v>
      </c>
      <c r="M3036" s="1">
        <v>16</v>
      </c>
      <c r="Q3036" s="1" t="s">
        <v>42</v>
      </c>
      <c r="S3036" s="1" t="s">
        <v>42</v>
      </c>
      <c r="T3036" s="1" t="s">
        <v>203</v>
      </c>
      <c r="AA3036" s="1">
        <v>2732168.4</v>
      </c>
      <c r="AB3036" s="1" t="s">
        <v>2423</v>
      </c>
      <c r="AC3036" s="5">
        <v>43839</v>
      </c>
      <c r="AF3036" s="1">
        <v>10013</v>
      </c>
      <c r="AI3036" s="1" t="s">
        <v>52</v>
      </c>
      <c r="AJ3036" s="1">
        <v>2016</v>
      </c>
      <c r="AK3036" s="1" t="s">
        <v>46</v>
      </c>
      <c r="AL3036" s="1">
        <v>111</v>
      </c>
    </row>
    <row r="3037" spans="1:38" x14ac:dyDescent="0.2">
      <c r="A3037" s="2" t="str">
        <f>HYPERLINK("https://www.compass.com/listing/346-west-71st-street-unit-garde-manhattan-ny-10023/440946332136654897/","346 W 71st St, Unit GARDE")</f>
        <v>346 W 71st St, Unit GARDE</v>
      </c>
      <c r="B3037" s="2" t="str">
        <f t="shared" ref="B3037:B3039" si="456">HYPERLINK("https://www.compass.com/building/346-w-71st-st-manhattan-ny-10023/293534968154524325/","346 W 71st St")</f>
        <v>346 W 71st St</v>
      </c>
      <c r="C3037" s="1" t="s">
        <v>47</v>
      </c>
      <c r="D3037" s="1" t="s">
        <v>41</v>
      </c>
      <c r="E3037" s="3">
        <v>1995000</v>
      </c>
      <c r="F3037" s="1">
        <v>1087.19346049046</v>
      </c>
      <c r="M3037" s="4">
        <v>1835</v>
      </c>
      <c r="Q3037" s="1" t="s">
        <v>42</v>
      </c>
      <c r="S3037" s="1" t="s">
        <v>42</v>
      </c>
      <c r="T3037" s="1" t="s">
        <v>203</v>
      </c>
      <c r="AA3037" s="1">
        <v>1995000</v>
      </c>
      <c r="AB3037" s="1" t="s">
        <v>2424</v>
      </c>
      <c r="AC3037" s="5">
        <v>43830</v>
      </c>
      <c r="AF3037" s="1">
        <v>10023</v>
      </c>
      <c r="AJ3037" s="1">
        <v>1900</v>
      </c>
      <c r="AL3037" s="1">
        <v>1</v>
      </c>
    </row>
    <row r="3038" spans="1:38" x14ac:dyDescent="0.2">
      <c r="A3038" s="2" t="str">
        <f>HYPERLINK("https://www.compass.com/listing/346-west-71st-street-unit-4a-manhattan-ny-10023/441360568453343705/","346 W 71st St, Unit 4A")</f>
        <v>346 W 71st St, Unit 4A</v>
      </c>
      <c r="B3038" s="2" t="str">
        <f t="shared" si="456"/>
        <v>346 W 71st St</v>
      </c>
      <c r="C3038" s="1" t="s">
        <v>47</v>
      </c>
      <c r="D3038" s="1" t="s">
        <v>41</v>
      </c>
      <c r="E3038" s="3">
        <v>1893945</v>
      </c>
      <c r="F3038" s="1">
        <v>1893.9449999999999</v>
      </c>
      <c r="M3038" s="4">
        <v>1000</v>
      </c>
      <c r="Q3038" s="1" t="s">
        <v>42</v>
      </c>
      <c r="S3038" s="1" t="s">
        <v>42</v>
      </c>
      <c r="T3038" s="1" t="s">
        <v>203</v>
      </c>
      <c r="AA3038" s="1">
        <v>1893945</v>
      </c>
      <c r="AB3038" s="1" t="s">
        <v>2425</v>
      </c>
      <c r="AC3038" s="5">
        <v>43833</v>
      </c>
      <c r="AF3038" s="1">
        <v>10023</v>
      </c>
      <c r="AJ3038" s="1">
        <v>1900</v>
      </c>
      <c r="AL3038" s="1">
        <v>1</v>
      </c>
    </row>
    <row r="3039" spans="1:38" x14ac:dyDescent="0.2">
      <c r="A3039" s="2" t="str">
        <f>HYPERLINK("https://www.compass.com/listing/346-west-71st-street-unit-phb-manhattan-ny-10023/441360581740984129/","346 W 71st St, Unit PHB")</f>
        <v>346 W 71st St, Unit PHB</v>
      </c>
      <c r="B3039" s="2" t="str">
        <f t="shared" si="456"/>
        <v>346 W 71st St</v>
      </c>
      <c r="C3039" s="1" t="s">
        <v>47</v>
      </c>
      <c r="D3039" s="1" t="s">
        <v>41</v>
      </c>
      <c r="E3039" s="3">
        <v>3925000</v>
      </c>
      <c r="F3039" s="1">
        <v>1955.65520677628</v>
      </c>
      <c r="M3039" s="4">
        <v>2007</v>
      </c>
      <c r="Q3039" s="1" t="s">
        <v>42</v>
      </c>
      <c r="S3039" s="1" t="s">
        <v>42</v>
      </c>
      <c r="T3039" s="1" t="s">
        <v>203</v>
      </c>
      <c r="AA3039" s="1">
        <v>3925000</v>
      </c>
      <c r="AB3039" s="1" t="s">
        <v>2426</v>
      </c>
      <c r="AC3039" s="5">
        <v>43819</v>
      </c>
      <c r="AF3039" s="1">
        <v>10023</v>
      </c>
      <c r="AJ3039" s="1">
        <v>1900</v>
      </c>
      <c r="AL3039" s="1">
        <v>1</v>
      </c>
    </row>
    <row r="3040" spans="1:38" x14ac:dyDescent="0.2">
      <c r="A3040" s="2" t="str">
        <f>HYPERLINK("https://www.compass.com/listing/555-west-end-avenue-unit-ths-manhattan-ny-10024/441363130854418449/","555 W End Ave, Unit THS")</f>
        <v>555 W End Ave, Unit THS</v>
      </c>
      <c r="B3040" s="2" t="str">
        <f>HYPERLINK("https://www.compass.com/building/555-west-end-avenue-manhattan-ny/292874438096018885/","555 West End Avenue")</f>
        <v>555 West End Avenue</v>
      </c>
      <c r="C3040" s="1" t="s">
        <v>47</v>
      </c>
      <c r="D3040" s="1" t="s">
        <v>41</v>
      </c>
      <c r="E3040" s="3">
        <v>12000000</v>
      </c>
      <c r="F3040" s="1">
        <v>1223.74056699979</v>
      </c>
      <c r="M3040" s="4">
        <v>9806</v>
      </c>
      <c r="Q3040" s="1" t="s">
        <v>42</v>
      </c>
      <c r="S3040" s="1" t="s">
        <v>42</v>
      </c>
      <c r="T3040" s="1" t="s">
        <v>203</v>
      </c>
      <c r="AA3040" s="1">
        <v>12000000</v>
      </c>
      <c r="AB3040" s="1" t="s">
        <v>2427</v>
      </c>
      <c r="AC3040" s="5">
        <v>43826</v>
      </c>
      <c r="AF3040" s="1">
        <v>10024</v>
      </c>
      <c r="AJ3040" s="1">
        <v>2019</v>
      </c>
      <c r="AK3040" s="1" t="s">
        <v>55</v>
      </c>
      <c r="AL3040" s="1">
        <v>13</v>
      </c>
    </row>
    <row r="3041" spans="1:38" x14ac:dyDescent="0.2">
      <c r="A3041" s="2" t="str">
        <f>HYPERLINK("https://www.compass.com/listing/346-west-71st-street-unit-garde-manhattan-ny-10023/442047983882700737/","346 W 71st St, Unit GARDE")</f>
        <v>346 W 71st St, Unit GARDE</v>
      </c>
      <c r="B3041" s="2" t="str">
        <f t="shared" ref="B3041:B3044" si="457">HYPERLINK("https://www.compass.com/building/346-w-71st-st-manhattan-ny-10023/293534968154524325/","346 W 71st St")</f>
        <v>346 W 71st St</v>
      </c>
      <c r="C3041" s="1" t="s">
        <v>47</v>
      </c>
      <c r="D3041" s="1" t="s">
        <v>41</v>
      </c>
      <c r="E3041" s="3">
        <v>2995000</v>
      </c>
      <c r="F3041" s="1">
        <v>1228.4659557013899</v>
      </c>
      <c r="M3041" s="4">
        <v>2438</v>
      </c>
      <c r="Q3041" s="1" t="s">
        <v>42</v>
      </c>
      <c r="S3041" s="1" t="s">
        <v>42</v>
      </c>
      <c r="T3041" s="1" t="s">
        <v>203</v>
      </c>
      <c r="AA3041" s="1">
        <v>2995000</v>
      </c>
      <c r="AB3041" s="1" t="s">
        <v>2428</v>
      </c>
      <c r="AC3041" s="5">
        <v>43854</v>
      </c>
      <c r="AF3041" s="1">
        <v>10023</v>
      </c>
      <c r="AJ3041" s="1">
        <v>1900</v>
      </c>
      <c r="AL3041" s="1">
        <v>1</v>
      </c>
    </row>
    <row r="3042" spans="1:38" x14ac:dyDescent="0.2">
      <c r="A3042" s="2" t="str">
        <f>HYPERLINK("https://www.compass.com/listing/346-west-71st-street-unit-5a-manhattan-ny-10023/442047992045033521/","346 W 71st St, Unit 5A")</f>
        <v>346 W 71st St, Unit 5A</v>
      </c>
      <c r="B3042" s="2" t="str">
        <f t="shared" si="457"/>
        <v>346 W 71st St</v>
      </c>
      <c r="C3042" s="1" t="s">
        <v>47</v>
      </c>
      <c r="D3042" s="1" t="s">
        <v>41</v>
      </c>
      <c r="E3042" s="3">
        <v>1850000</v>
      </c>
      <c r="F3042" s="1">
        <v>1850</v>
      </c>
      <c r="M3042" s="4">
        <v>1000</v>
      </c>
      <c r="Q3042" s="1" t="s">
        <v>42</v>
      </c>
      <c r="S3042" s="1" t="s">
        <v>42</v>
      </c>
      <c r="T3042" s="1" t="s">
        <v>203</v>
      </c>
      <c r="AA3042" s="1">
        <v>1850000</v>
      </c>
      <c r="AB3042" s="1" t="s">
        <v>2429</v>
      </c>
      <c r="AC3042" s="5">
        <v>43854</v>
      </c>
      <c r="AF3042" s="1">
        <v>10023</v>
      </c>
      <c r="AJ3042" s="1">
        <v>1900</v>
      </c>
      <c r="AL3042" s="1">
        <v>1</v>
      </c>
    </row>
    <row r="3043" spans="1:38" x14ac:dyDescent="0.2">
      <c r="A3043" s="2" t="str">
        <f>HYPERLINK("https://www.compass.com/listing/346-west-71st-street-unit-3c-manhattan-ny-10023/445597788697651185/","346 W 71st St, Unit 3C")</f>
        <v>346 W 71st St, Unit 3C</v>
      </c>
      <c r="B3043" s="2" t="str">
        <f t="shared" si="457"/>
        <v>346 W 71st St</v>
      </c>
      <c r="C3043" s="1" t="s">
        <v>47</v>
      </c>
      <c r="D3043" s="1" t="s">
        <v>41</v>
      </c>
      <c r="E3043" s="3">
        <v>2270000</v>
      </c>
      <c r="F3043" s="1">
        <v>1524.5130960376</v>
      </c>
      <c r="M3043" s="4">
        <v>1489</v>
      </c>
      <c r="Q3043" s="1" t="s">
        <v>42</v>
      </c>
      <c r="S3043" s="1" t="s">
        <v>42</v>
      </c>
      <c r="T3043" s="1" t="s">
        <v>203</v>
      </c>
      <c r="AA3043" s="1">
        <v>2270000</v>
      </c>
      <c r="AB3043" s="1" t="s">
        <v>2430</v>
      </c>
      <c r="AC3043" s="5">
        <v>43864</v>
      </c>
      <c r="AF3043" s="1">
        <v>10023</v>
      </c>
      <c r="AJ3043" s="1">
        <v>1900</v>
      </c>
      <c r="AL3043" s="1">
        <v>1</v>
      </c>
    </row>
    <row r="3044" spans="1:38" x14ac:dyDescent="0.2">
      <c r="A3044" s="2" t="str">
        <f>HYPERLINK("https://www.compass.com/listing/346-west-71st-street-unit-mais-manhattan-ny-10023/446096051427345593/","346 W 71st St, Unit MAIS")</f>
        <v>346 W 71st St, Unit MAIS</v>
      </c>
      <c r="B3044" s="2" t="str">
        <f t="shared" si="457"/>
        <v>346 W 71st St</v>
      </c>
      <c r="C3044" s="1" t="s">
        <v>47</v>
      </c>
      <c r="D3044" s="1" t="s">
        <v>41</v>
      </c>
      <c r="E3044" s="3">
        <v>3044568</v>
      </c>
      <c r="F3044" s="1">
        <v>1617.7298087141301</v>
      </c>
      <c r="M3044" s="4">
        <v>1882</v>
      </c>
      <c r="Q3044" s="1" t="s">
        <v>42</v>
      </c>
      <c r="S3044" s="1" t="s">
        <v>42</v>
      </c>
      <c r="T3044" s="1" t="s">
        <v>203</v>
      </c>
      <c r="AA3044" s="1">
        <v>3044567.5</v>
      </c>
      <c r="AB3044" s="1" t="s">
        <v>2431</v>
      </c>
      <c r="AC3044" s="5">
        <v>43860</v>
      </c>
      <c r="AF3044" s="1">
        <v>10023</v>
      </c>
      <c r="AJ3044" s="1">
        <v>1900</v>
      </c>
      <c r="AL3044" s="1">
        <v>1</v>
      </c>
    </row>
    <row r="3045" spans="1:38" x14ac:dyDescent="0.2">
      <c r="A3045" s="2" t="str">
        <f>HYPERLINK("https://www.compass.com/listing/139-west-126th-street-unit-1b-manhattan-ny-10027/455122334196565545/","139 W 126th St, Unit 1B")</f>
        <v>139 W 126th St, Unit 1B</v>
      </c>
      <c r="B3045" s="2" t="str">
        <f>HYPERLINK("https://www.compass.com/building/139-w-126th-st-manhattan-ny-10027/281978594853484453/","139 W 126th St")</f>
        <v>139 W 126th St</v>
      </c>
      <c r="C3045" s="1" t="s">
        <v>145</v>
      </c>
      <c r="D3045" s="1" t="s">
        <v>41</v>
      </c>
      <c r="E3045" s="3">
        <v>976502</v>
      </c>
      <c r="F3045" s="1">
        <v>1068.3826586433199</v>
      </c>
      <c r="M3045" s="1">
        <v>914</v>
      </c>
      <c r="Q3045" s="1" t="s">
        <v>42</v>
      </c>
      <c r="S3045" s="1" t="s">
        <v>42</v>
      </c>
      <c r="T3045" s="1" t="s">
        <v>203</v>
      </c>
      <c r="AA3045" s="1">
        <v>976501.75</v>
      </c>
      <c r="AB3045" s="1" t="s">
        <v>2432</v>
      </c>
      <c r="AC3045" s="5">
        <v>42605</v>
      </c>
      <c r="AF3045" s="1">
        <v>10027</v>
      </c>
      <c r="AI3045" s="1" t="s">
        <v>52</v>
      </c>
      <c r="AJ3045" s="1">
        <v>1910</v>
      </c>
      <c r="AL3045" s="1">
        <v>4</v>
      </c>
    </row>
    <row r="3046" spans="1:38" x14ac:dyDescent="0.2">
      <c r="A3046" s="2" t="str">
        <f>HYPERLINK("https://www.compass.com/listing/253-east-7th-street-unit-3-manhattan-ny-10009/459842856279377177/","253 E 7th St, Unit 3")</f>
        <v>253 E 7th St, Unit 3</v>
      </c>
      <c r="B3046" s="2" t="str">
        <f>HYPERLINK("https://www.compass.com/building/253-e-7th-st-manhattan-ny-10009/281899070816005877/","253 E 7th St")</f>
        <v>253 E 7th St</v>
      </c>
      <c r="C3046" s="1" t="s">
        <v>88</v>
      </c>
      <c r="D3046" s="1" t="s">
        <v>41</v>
      </c>
      <c r="E3046" s="3">
        <v>1268975</v>
      </c>
      <c r="F3046" s="1">
        <v>1787.2882957746399</v>
      </c>
      <c r="M3046" s="1">
        <v>710</v>
      </c>
      <c r="Q3046" s="1" t="s">
        <v>42</v>
      </c>
      <c r="S3046" s="1" t="s">
        <v>42</v>
      </c>
      <c r="T3046" s="1" t="s">
        <v>203</v>
      </c>
      <c r="AA3046" s="1">
        <v>1268974.69</v>
      </c>
      <c r="AB3046" s="1" t="s">
        <v>2433</v>
      </c>
      <c r="AC3046" s="5">
        <v>43829</v>
      </c>
      <c r="AF3046" s="1">
        <v>10009</v>
      </c>
      <c r="AI3046" s="1" t="s">
        <v>73</v>
      </c>
      <c r="AJ3046" s="1">
        <v>2018</v>
      </c>
      <c r="AL3046" s="1">
        <v>7</v>
      </c>
    </row>
    <row r="3047" spans="1:38" x14ac:dyDescent="0.2">
      <c r="A3047" s="2" t="str">
        <f>HYPERLINK("https://www.compass.com/listing/952-columbus-avenue-unit-2c-manhattan-ny-10025/46266163239445953/","952 Columbus Ave, Unit 2C")</f>
        <v>952 Columbus Ave, Unit 2C</v>
      </c>
      <c r="B3047" s="2" t="str">
        <f>HYPERLINK("https://www.compass.com/building/952-columbus-ave-manhattan-ny-10025/281973617187710805/","952 Columbus Ave")</f>
        <v>952 Columbus Ave</v>
      </c>
      <c r="C3047" s="1" t="s">
        <v>47</v>
      </c>
      <c r="D3047" s="1" t="s">
        <v>41</v>
      </c>
      <c r="E3047" s="3">
        <v>1175000</v>
      </c>
      <c r="F3047" s="1">
        <v>1194.10569105691</v>
      </c>
      <c r="M3047" s="1">
        <v>984</v>
      </c>
      <c r="Q3047" s="1" t="s">
        <v>42</v>
      </c>
      <c r="S3047" s="1" t="s">
        <v>42</v>
      </c>
      <c r="T3047" s="1" t="s">
        <v>203</v>
      </c>
      <c r="AA3047" s="1">
        <v>1175000</v>
      </c>
      <c r="AB3047" s="1" t="s">
        <v>2434</v>
      </c>
      <c r="AC3047" s="5">
        <v>43301</v>
      </c>
      <c r="AF3047" s="1">
        <v>10025</v>
      </c>
      <c r="AI3047" s="1" t="s">
        <v>52</v>
      </c>
      <c r="AJ3047" s="1">
        <v>2016</v>
      </c>
      <c r="AL3047" s="1">
        <v>15</v>
      </c>
    </row>
    <row r="3048" spans="1:38" x14ac:dyDescent="0.2">
      <c r="A3048" s="2" t="str">
        <f>HYPERLINK("https://www.compass.com/listing/346-west-71st-street-unit-4b-manhattan-ny-10023/466631045346168753/","346 W 71st St, Unit 4B")</f>
        <v>346 W 71st St, Unit 4B</v>
      </c>
      <c r="B3048" s="2" t="str">
        <f>HYPERLINK("https://www.compass.com/building/346-w-71st-st-manhattan-ny-10023/293534968154524325/","346 W 71st St")</f>
        <v>346 W 71st St</v>
      </c>
      <c r="C3048" s="1" t="s">
        <v>47</v>
      </c>
      <c r="D3048" s="1" t="s">
        <v>41</v>
      </c>
      <c r="E3048" s="3">
        <v>2893000</v>
      </c>
      <c r="F3048" s="1">
        <v>1691.8128654970701</v>
      </c>
      <c r="M3048" s="4">
        <v>1710</v>
      </c>
      <c r="Q3048" s="1" t="s">
        <v>42</v>
      </c>
      <c r="S3048" s="1" t="s">
        <v>42</v>
      </c>
      <c r="T3048" s="1" t="s">
        <v>203</v>
      </c>
      <c r="AA3048" s="1">
        <v>2893000</v>
      </c>
      <c r="AB3048" s="1" t="s">
        <v>2435</v>
      </c>
      <c r="AC3048" s="5">
        <v>43887</v>
      </c>
      <c r="AF3048" s="1">
        <v>10023</v>
      </c>
      <c r="AJ3048" s="1">
        <v>1900</v>
      </c>
      <c r="AL3048" s="1">
        <v>1</v>
      </c>
    </row>
    <row r="3049" spans="1:38" x14ac:dyDescent="0.2">
      <c r="A3049" s="2" t="str">
        <f>HYPERLINK("https://www.compass.com/listing/184-east-64th-street-unit-45-manhattan-ny-10065/4703700763120005425/","184 E 64th St, Unit 45")</f>
        <v>184 E 64th St, Unit 45</v>
      </c>
      <c r="B3049" s="2" t="str">
        <f>HYPERLINK("https://www.compass.com/building/the-gianna-manhattan-ny/282037412736026565/","The Gianna")</f>
        <v>The Gianna</v>
      </c>
      <c r="C3049" s="1" t="s">
        <v>53</v>
      </c>
      <c r="D3049" s="1" t="s">
        <v>41</v>
      </c>
      <c r="E3049" s="3">
        <v>3495000</v>
      </c>
      <c r="F3049" s="1">
        <v>1248.2142857142801</v>
      </c>
      <c r="G3049" s="1">
        <v>8</v>
      </c>
      <c r="H3049" s="1">
        <v>4</v>
      </c>
      <c r="I3049" s="1">
        <v>4</v>
      </c>
      <c r="J3049" s="1">
        <v>4</v>
      </c>
      <c r="M3049" s="4">
        <v>2800</v>
      </c>
      <c r="N3049" s="1">
        <v>1526</v>
      </c>
      <c r="O3049" s="1">
        <v>2791</v>
      </c>
      <c r="P3049" s="1">
        <v>1265</v>
      </c>
      <c r="Q3049" s="1" t="s">
        <v>42</v>
      </c>
      <c r="S3049" s="1" t="s">
        <v>42</v>
      </c>
      <c r="T3049" s="1" t="s">
        <v>203</v>
      </c>
      <c r="U3049" s="1">
        <v>91</v>
      </c>
      <c r="V3049" s="5">
        <v>42476</v>
      </c>
      <c r="W3049" s="5">
        <v>38027</v>
      </c>
      <c r="X3049" s="1">
        <v>3495000</v>
      </c>
      <c r="Y3049" s="1">
        <v>3495000</v>
      </c>
      <c r="Z3049" s="5">
        <v>38119</v>
      </c>
      <c r="AA3049" s="1">
        <v>3495000</v>
      </c>
      <c r="AB3049" s="1" t="s">
        <v>204</v>
      </c>
      <c r="AC3049" s="5">
        <v>38190</v>
      </c>
      <c r="AF3049" s="1">
        <v>10065</v>
      </c>
      <c r="AI3049" s="1" t="s">
        <v>315</v>
      </c>
      <c r="AJ3049" s="1">
        <v>2017</v>
      </c>
      <c r="AL3049" s="1">
        <v>5</v>
      </c>
    </row>
    <row r="3050" spans="1:38" x14ac:dyDescent="0.2">
      <c r="A3050" s="2" t="str">
        <f>HYPERLINK("https://www.compass.com/listing/400-west-61st-street-unit-20p-manhattan-ny-10069/471446965633638257/","400 W 61st St, Unit 20P")</f>
        <v>400 W 61st St, Unit 20P</v>
      </c>
      <c r="B3050" s="2" t="str">
        <f>HYPERLINK("https://www.compass.com/building/2-waterline-square-manhattan-ny/405244161814084533/","2 Waterline Square")</f>
        <v>2 Waterline Square</v>
      </c>
      <c r="C3050" s="1" t="s">
        <v>47</v>
      </c>
      <c r="D3050" s="1" t="s">
        <v>41</v>
      </c>
      <c r="E3050" s="3">
        <v>4365000</v>
      </c>
      <c r="F3050" s="1">
        <v>2515.85014409221</v>
      </c>
      <c r="M3050" s="4">
        <v>1735</v>
      </c>
      <c r="Q3050" s="1" t="s">
        <v>42</v>
      </c>
      <c r="S3050" s="1" t="s">
        <v>42</v>
      </c>
      <c r="T3050" s="1" t="s">
        <v>203</v>
      </c>
      <c r="AA3050" s="1">
        <v>4365000</v>
      </c>
      <c r="AB3050" s="1" t="s">
        <v>2436</v>
      </c>
      <c r="AC3050" s="5">
        <v>43896</v>
      </c>
      <c r="AF3050" s="1">
        <v>10069</v>
      </c>
      <c r="AJ3050" s="1">
        <v>2019</v>
      </c>
      <c r="AL3050" s="1">
        <v>329</v>
      </c>
    </row>
    <row r="3051" spans="1:38" x14ac:dyDescent="0.2">
      <c r="A3051" s="2" t="str">
        <f>HYPERLINK("https://www.compass.com/listing/346-west-71st-street-unit-3b-manhattan-ny-10023/471447071776508265/","346 W 71st St, Unit 3B")</f>
        <v>346 W 71st St, Unit 3B</v>
      </c>
      <c r="B3051" s="2" t="str">
        <f>HYPERLINK("https://www.compass.com/building/346-w-71st-st-manhattan-ny-10023/293534968154524325/","346 W 71st St")</f>
        <v>346 W 71st St</v>
      </c>
      <c r="C3051" s="1" t="s">
        <v>47</v>
      </c>
      <c r="D3051" s="1" t="s">
        <v>41</v>
      </c>
      <c r="E3051" s="3">
        <v>2895000</v>
      </c>
      <c r="F3051" s="1">
        <v>1692.98245614035</v>
      </c>
      <c r="M3051" s="4">
        <v>1710</v>
      </c>
      <c r="Q3051" s="1" t="s">
        <v>42</v>
      </c>
      <c r="S3051" s="1" t="s">
        <v>42</v>
      </c>
      <c r="T3051" s="1" t="s">
        <v>203</v>
      </c>
      <c r="AA3051" s="1">
        <v>2895000</v>
      </c>
      <c r="AB3051" s="1" t="s">
        <v>2437</v>
      </c>
      <c r="AC3051" s="5">
        <v>43880</v>
      </c>
      <c r="AF3051" s="1">
        <v>10023</v>
      </c>
      <c r="AJ3051" s="1">
        <v>1900</v>
      </c>
      <c r="AL3051" s="1">
        <v>1</v>
      </c>
    </row>
    <row r="3052" spans="1:38" x14ac:dyDescent="0.2">
      <c r="A3052" s="2" t="str">
        <f>HYPERLINK("https://www.compass.com/listing/324-east-4th-street-unit-5a-manhattan-ny-10009/472163862725405713/","324 E 4th St, Unit 5A")</f>
        <v>324 E 4th St, Unit 5A</v>
      </c>
      <c r="B3052" s="2" t="str">
        <f>HYPERLINK("https://www.compass.com/building/324-e-4th-st-manhattan-ny-10009/281899594583912869/","324 E 4th St")</f>
        <v>324 E 4th St</v>
      </c>
      <c r="C3052" s="1" t="s">
        <v>88</v>
      </c>
      <c r="D3052" s="1" t="s">
        <v>41</v>
      </c>
      <c r="E3052" s="3">
        <v>825000</v>
      </c>
      <c r="F3052" s="1">
        <v>1363.6363636363601</v>
      </c>
      <c r="M3052" s="1">
        <v>605</v>
      </c>
      <c r="Q3052" s="1" t="s">
        <v>42</v>
      </c>
      <c r="S3052" s="1" t="s">
        <v>42</v>
      </c>
      <c r="T3052" s="1" t="s">
        <v>203</v>
      </c>
      <c r="AA3052" s="1">
        <v>825000</v>
      </c>
      <c r="AB3052" s="1" t="s">
        <v>2438</v>
      </c>
      <c r="AC3052" s="5">
        <v>43895</v>
      </c>
      <c r="AF3052" s="1">
        <v>10009</v>
      </c>
      <c r="AI3052" s="1" t="s">
        <v>73</v>
      </c>
      <c r="AJ3052" s="1">
        <v>1920</v>
      </c>
      <c r="AL3052" s="1">
        <v>111</v>
      </c>
    </row>
    <row r="3053" spans="1:38" x14ac:dyDescent="0.2">
      <c r="A3053" s="2" t="str">
        <f>HYPERLINK("https://www.compass.com/listing/400-west-61st-street-unit-24b-manhattan-ny-10069/472896071937796649/","400 W 61st St, Unit 24B")</f>
        <v>400 W 61st St, Unit 24B</v>
      </c>
      <c r="B3053" s="2" t="str">
        <f>HYPERLINK("https://www.compass.com/building/2-waterline-square-manhattan-ny/405244161814084533/","2 Waterline Square")</f>
        <v>2 Waterline Square</v>
      </c>
      <c r="C3053" s="1" t="s">
        <v>47</v>
      </c>
      <c r="D3053" s="1" t="s">
        <v>41</v>
      </c>
      <c r="E3053" s="3">
        <v>5142163</v>
      </c>
      <c r="F3053" s="1">
        <v>2820.7144816236901</v>
      </c>
      <c r="M3053" s="4">
        <v>1823</v>
      </c>
      <c r="Q3053" s="1" t="s">
        <v>42</v>
      </c>
      <c r="S3053" s="1" t="s">
        <v>42</v>
      </c>
      <c r="T3053" s="1" t="s">
        <v>203</v>
      </c>
      <c r="AA3053" s="1">
        <v>5142162.5</v>
      </c>
      <c r="AB3053" s="1" t="s">
        <v>2439</v>
      </c>
      <c r="AC3053" s="5">
        <v>43888</v>
      </c>
      <c r="AF3053" s="1">
        <v>10069</v>
      </c>
      <c r="AJ3053" s="1">
        <v>2019</v>
      </c>
      <c r="AL3053" s="1">
        <v>329</v>
      </c>
    </row>
    <row r="3054" spans="1:38" x14ac:dyDescent="0.2">
      <c r="A3054" s="2" t="str">
        <f>HYPERLINK("https://www.compass.com/listing/346-west-71st-street-unit-5b-manhattan-ny-10023/476519284714239705/","346 W 71st St, Unit 5B")</f>
        <v>346 W 71st St, Unit 5B</v>
      </c>
      <c r="B3054" s="2" t="str">
        <f>HYPERLINK("https://www.compass.com/building/346-w-71st-st-manhattan-ny-10023/293534968154524325/","346 W 71st St")</f>
        <v>346 W 71st St</v>
      </c>
      <c r="C3054" s="1" t="s">
        <v>47</v>
      </c>
      <c r="D3054" s="1" t="s">
        <v>41</v>
      </c>
      <c r="E3054" s="3">
        <v>3125000</v>
      </c>
      <c r="F3054" s="1">
        <v>1827.48538011695</v>
      </c>
      <c r="M3054" s="4">
        <v>1710</v>
      </c>
      <c r="Q3054" s="1" t="s">
        <v>42</v>
      </c>
      <c r="S3054" s="1" t="s">
        <v>42</v>
      </c>
      <c r="T3054" s="1" t="s">
        <v>203</v>
      </c>
      <c r="AA3054" s="1">
        <v>3125000</v>
      </c>
      <c r="AB3054" s="1" t="s">
        <v>2440</v>
      </c>
      <c r="AC3054" s="5">
        <v>43900</v>
      </c>
      <c r="AF3054" s="1">
        <v>10023</v>
      </c>
      <c r="AJ3054" s="1">
        <v>1900</v>
      </c>
      <c r="AL3054" s="1">
        <v>1</v>
      </c>
    </row>
    <row r="3055" spans="1:38" x14ac:dyDescent="0.2">
      <c r="A3055" s="2" t="str">
        <f>HYPERLINK("https://www.compass.com/listing/275-west-10th-street-unit-ga-manhattan-ny-10014/477240080109925313/","275 W 10th St, Unit GA")</f>
        <v>275 W 10th St, Unit GA</v>
      </c>
      <c r="B3055" s="2" t="str">
        <f>HYPERLINK("https://www.compass.com/building/the-shephard-manhattan-ny/281931968864632917/","The Shephard")</f>
        <v>The Shephard</v>
      </c>
      <c r="C3055" s="1" t="s">
        <v>68</v>
      </c>
      <c r="D3055" s="1" t="s">
        <v>41</v>
      </c>
      <c r="E3055" s="3">
        <v>6350000</v>
      </c>
      <c r="F3055" s="1">
        <v>2368.5192092502798</v>
      </c>
      <c r="M3055" s="4">
        <v>2681</v>
      </c>
      <c r="Q3055" s="1" t="s">
        <v>42</v>
      </c>
      <c r="S3055" s="1" t="s">
        <v>42</v>
      </c>
      <c r="T3055" s="1" t="s">
        <v>203</v>
      </c>
      <c r="AA3055" s="1">
        <v>6350000</v>
      </c>
      <c r="AB3055" s="1" t="s">
        <v>2441</v>
      </c>
      <c r="AC3055" s="5">
        <v>43903</v>
      </c>
      <c r="AF3055" s="1">
        <v>10014</v>
      </c>
      <c r="AI3055" s="1" t="s">
        <v>67</v>
      </c>
      <c r="AJ3055" s="1">
        <v>2015</v>
      </c>
      <c r="AK3055" s="1" t="s">
        <v>55</v>
      </c>
      <c r="AL3055" s="1">
        <v>38</v>
      </c>
    </row>
    <row r="3056" spans="1:38" x14ac:dyDescent="0.2">
      <c r="A3056" s="2" t="str">
        <f>HYPERLINK("https://www.compass.com/listing/400-west-61st-street-unit-24e-manhattan-ny-10069/482323314740789201/","400 W 61st St, Unit 24E")</f>
        <v>400 W 61st St, Unit 24E</v>
      </c>
      <c r="B3056" s="2" t="str">
        <f t="shared" ref="B3056:B3057" si="458">HYPERLINK("https://www.compass.com/building/2-waterline-square-manhattan-ny/405244161814084533/","2 Waterline Square")</f>
        <v>2 Waterline Square</v>
      </c>
      <c r="C3056" s="1" t="s">
        <v>47</v>
      </c>
      <c r="D3056" s="1" t="s">
        <v>41</v>
      </c>
      <c r="E3056" s="3">
        <v>2749275</v>
      </c>
      <c r="F3056" s="1">
        <v>2294.8873121869701</v>
      </c>
      <c r="M3056" s="4">
        <v>1198</v>
      </c>
      <c r="Q3056" s="1" t="s">
        <v>42</v>
      </c>
      <c r="S3056" s="1" t="s">
        <v>42</v>
      </c>
      <c r="T3056" s="1" t="s">
        <v>203</v>
      </c>
      <c r="AA3056" s="1">
        <v>2749275</v>
      </c>
      <c r="AB3056" s="1" t="s">
        <v>2442</v>
      </c>
      <c r="AC3056" s="5">
        <v>43895</v>
      </c>
      <c r="AF3056" s="1">
        <v>10069</v>
      </c>
      <c r="AJ3056" s="1">
        <v>2019</v>
      </c>
      <c r="AL3056" s="1">
        <v>329</v>
      </c>
    </row>
    <row r="3057" spans="1:38" x14ac:dyDescent="0.2">
      <c r="A3057" s="2" t="str">
        <f>HYPERLINK("https://www.compass.com/listing/400-west-61st-street-unit-23c-manhattan-ny-10069/484708087572733713/","400 W 61st St, Unit 23C")</f>
        <v>400 W 61st St, Unit 23C</v>
      </c>
      <c r="B3057" s="2" t="str">
        <f t="shared" si="458"/>
        <v>2 Waterline Square</v>
      </c>
      <c r="C3057" s="1" t="s">
        <v>47</v>
      </c>
      <c r="D3057" s="1" t="s">
        <v>41</v>
      </c>
      <c r="E3057" s="3">
        <v>2300000</v>
      </c>
      <c r="F3057" s="1">
        <v>2383.41968911917</v>
      </c>
      <c r="M3057" s="1">
        <v>965</v>
      </c>
      <c r="Q3057" s="1" t="s">
        <v>42</v>
      </c>
      <c r="S3057" s="1" t="s">
        <v>42</v>
      </c>
      <c r="T3057" s="1" t="s">
        <v>203</v>
      </c>
      <c r="AA3057" s="1">
        <v>2300000</v>
      </c>
      <c r="AB3057" s="1" t="s">
        <v>2443</v>
      </c>
      <c r="AC3057" s="5">
        <v>43913</v>
      </c>
      <c r="AF3057" s="1">
        <v>10069</v>
      </c>
      <c r="AJ3057" s="1">
        <v>2019</v>
      </c>
      <c r="AL3057" s="1">
        <v>329</v>
      </c>
    </row>
    <row r="3058" spans="1:38" x14ac:dyDescent="0.2">
      <c r="A3058" s="2" t="str">
        <f>HYPERLINK("https://www.compass.com/listing/50-west-30th-street-unit-4c-manhattan-ny-10001/4855978359600974097/","50 W 30th St, Unit 4C")</f>
        <v>50 W 30th St, Unit 4C</v>
      </c>
      <c r="B3058" s="2" t="str">
        <f>HYPERLINK("https://www.compass.com/building/the-noma-manhattan-ny/282058879016139621/","The NOMA")</f>
        <v>The NOMA</v>
      </c>
      <c r="C3058" s="1" t="s">
        <v>95</v>
      </c>
      <c r="D3058" s="1" t="s">
        <v>41</v>
      </c>
      <c r="E3058" s="3">
        <v>1475000</v>
      </c>
      <c r="F3058" s="1">
        <v>1814.2681426814199</v>
      </c>
      <c r="G3058" s="1">
        <v>4</v>
      </c>
      <c r="H3058" s="1">
        <v>1</v>
      </c>
      <c r="I3058" s="1">
        <v>2</v>
      </c>
      <c r="J3058" s="1">
        <v>2</v>
      </c>
      <c r="K3058" s="1">
        <v>2</v>
      </c>
      <c r="M3058" s="1">
        <v>813</v>
      </c>
      <c r="N3058" s="1">
        <v>997</v>
      </c>
      <c r="O3058" s="1">
        <v>2280</v>
      </c>
      <c r="P3058" s="1">
        <v>1283</v>
      </c>
      <c r="Q3058" s="1" t="s">
        <v>42</v>
      </c>
      <c r="S3058" s="1" t="s">
        <v>42</v>
      </c>
      <c r="T3058" s="1" t="s">
        <v>203</v>
      </c>
      <c r="V3058" s="5">
        <v>43640</v>
      </c>
      <c r="W3058" s="5">
        <v>42528</v>
      </c>
      <c r="X3058" s="1">
        <v>1475000</v>
      </c>
      <c r="Y3058" s="1">
        <v>1475000</v>
      </c>
      <c r="Z3058" s="5">
        <v>42528</v>
      </c>
      <c r="AA3058" s="1">
        <v>1475000</v>
      </c>
      <c r="AB3058" s="1" t="s">
        <v>204</v>
      </c>
      <c r="AC3058" s="5">
        <v>43224</v>
      </c>
      <c r="AF3058" s="1">
        <v>10001</v>
      </c>
      <c r="AI3058" s="1" t="s">
        <v>45</v>
      </c>
      <c r="AJ3058" s="1">
        <v>2017</v>
      </c>
      <c r="AK3058" s="1" t="s">
        <v>87</v>
      </c>
      <c r="AL3058" s="1">
        <v>55</v>
      </c>
    </row>
    <row r="3059" spans="1:38" x14ac:dyDescent="0.2">
      <c r="A3059" s="2" t="str">
        <f>HYPERLINK("https://www.compass.com/listing/400-west-61st-street-unit-23n-manhattan-ny-10069/486677840837080241/","400 W 61st St, Unit 23N")</f>
        <v>400 W 61st St, Unit 23N</v>
      </c>
      <c r="B3059" s="2" t="str">
        <f t="shared" ref="B3059:B3073" si="459">HYPERLINK("https://www.compass.com/building/2-waterline-square-manhattan-ny/405244161814084533/","2 Waterline Square")</f>
        <v>2 Waterline Square</v>
      </c>
      <c r="C3059" s="1" t="s">
        <v>47</v>
      </c>
      <c r="D3059" s="1" t="s">
        <v>41</v>
      </c>
      <c r="E3059" s="3">
        <v>2821500</v>
      </c>
      <c r="F3059" s="1">
        <v>2032.78097982708</v>
      </c>
      <c r="M3059" s="4">
        <v>1388</v>
      </c>
      <c r="Q3059" s="1" t="s">
        <v>42</v>
      </c>
      <c r="S3059" s="1" t="s">
        <v>42</v>
      </c>
      <c r="T3059" s="1" t="s">
        <v>203</v>
      </c>
      <c r="AA3059" s="1">
        <v>2821500</v>
      </c>
      <c r="AB3059" s="1" t="s">
        <v>2444</v>
      </c>
      <c r="AC3059" s="5">
        <v>43915</v>
      </c>
      <c r="AF3059" s="1">
        <v>10069</v>
      </c>
      <c r="AJ3059" s="1">
        <v>2019</v>
      </c>
      <c r="AL3059" s="1">
        <v>329</v>
      </c>
    </row>
    <row r="3060" spans="1:38" x14ac:dyDescent="0.2">
      <c r="A3060" s="2" t="str">
        <f>HYPERLINK("https://www.compass.com/listing/400-west-61st-street-unit-29j-manhattan-ny-10069/486677844670577321/","400 W 61st St, Unit 29J")</f>
        <v>400 W 61st St, Unit 29J</v>
      </c>
      <c r="B3060" s="2" t="str">
        <f t="shared" si="459"/>
        <v>2 Waterline Square</v>
      </c>
      <c r="C3060" s="1" t="s">
        <v>47</v>
      </c>
      <c r="D3060" s="1" t="s">
        <v>41</v>
      </c>
      <c r="E3060" s="3">
        <v>3402000</v>
      </c>
      <c r="F3060" s="1">
        <v>2459.8698481561801</v>
      </c>
      <c r="M3060" s="4">
        <v>1383</v>
      </c>
      <c r="Q3060" s="1" t="s">
        <v>42</v>
      </c>
      <c r="S3060" s="1" t="s">
        <v>42</v>
      </c>
      <c r="T3060" s="1" t="s">
        <v>203</v>
      </c>
      <c r="AA3060" s="1">
        <v>3402000</v>
      </c>
      <c r="AB3060" s="1" t="s">
        <v>2445</v>
      </c>
      <c r="AC3060" s="5">
        <v>43916</v>
      </c>
      <c r="AF3060" s="1">
        <v>10069</v>
      </c>
      <c r="AJ3060" s="1">
        <v>2019</v>
      </c>
      <c r="AL3060" s="1">
        <v>329</v>
      </c>
    </row>
    <row r="3061" spans="1:38" x14ac:dyDescent="0.2">
      <c r="A3061" s="2" t="str">
        <f>HYPERLINK("https://www.compass.com/listing/400-west-61st-street-unit-22k-manhattan-ny-10069/491024032125435409/","400 W 61st St, Unit 22K")</f>
        <v>400 W 61st St, Unit 22K</v>
      </c>
      <c r="B3061" s="2" t="str">
        <f t="shared" si="459"/>
        <v>2 Waterline Square</v>
      </c>
      <c r="C3061" s="1" t="s">
        <v>47</v>
      </c>
      <c r="D3061" s="1" t="s">
        <v>41</v>
      </c>
      <c r="E3061" s="3">
        <v>1985588</v>
      </c>
      <c r="F3061" s="1">
        <v>2421.4481707317</v>
      </c>
      <c r="M3061" s="1">
        <v>820</v>
      </c>
      <c r="Q3061" s="1" t="s">
        <v>42</v>
      </c>
      <c r="S3061" s="1" t="s">
        <v>42</v>
      </c>
      <c r="T3061" s="1" t="s">
        <v>203</v>
      </c>
      <c r="AA3061" s="1">
        <v>1985587.5</v>
      </c>
      <c r="AB3061" s="1" t="s">
        <v>2446</v>
      </c>
      <c r="AC3061" s="5">
        <v>43913</v>
      </c>
      <c r="AF3061" s="1">
        <v>10069</v>
      </c>
      <c r="AJ3061" s="1">
        <v>2019</v>
      </c>
      <c r="AL3061" s="1">
        <v>329</v>
      </c>
    </row>
    <row r="3062" spans="1:38" x14ac:dyDescent="0.2">
      <c r="A3062" s="2" t="str">
        <f>HYPERLINK("https://www.compass.com/listing/400-west-61st-street-unit-24d-manhattan-ny-10069/492465743427019001/","400 W 61st St, Unit 24D")</f>
        <v>400 W 61st St, Unit 24D</v>
      </c>
      <c r="B3062" s="2" t="str">
        <f t="shared" si="459"/>
        <v>2 Waterline Square</v>
      </c>
      <c r="C3062" s="1" t="s">
        <v>47</v>
      </c>
      <c r="D3062" s="1" t="s">
        <v>41</v>
      </c>
      <c r="E3062" s="3">
        <v>2044500</v>
      </c>
      <c r="F3062" s="1">
        <v>2077.7439024390201</v>
      </c>
      <c r="M3062" s="1">
        <v>984</v>
      </c>
      <c r="Q3062" s="1" t="s">
        <v>42</v>
      </c>
      <c r="S3062" s="1" t="s">
        <v>42</v>
      </c>
      <c r="T3062" s="1" t="s">
        <v>203</v>
      </c>
      <c r="AA3062" s="1">
        <v>2044500</v>
      </c>
      <c r="AB3062" s="1" t="s">
        <v>2447</v>
      </c>
      <c r="AC3062" s="5">
        <v>43924</v>
      </c>
      <c r="AF3062" s="1">
        <v>10069</v>
      </c>
      <c r="AJ3062" s="1">
        <v>2019</v>
      </c>
      <c r="AL3062" s="1">
        <v>329</v>
      </c>
    </row>
    <row r="3063" spans="1:38" x14ac:dyDescent="0.2">
      <c r="A3063" s="2" t="str">
        <f>HYPERLINK("https://www.compass.com/listing/400-west-61st-street-unit-30f-manhattan-ny-10069/492465745700512921/","400 W 61st St, Unit 30F")</f>
        <v>400 W 61st St, Unit 30F</v>
      </c>
      <c r="B3063" s="2" t="str">
        <f t="shared" si="459"/>
        <v>2 Waterline Square</v>
      </c>
      <c r="C3063" s="1" t="s">
        <v>47</v>
      </c>
      <c r="D3063" s="1" t="s">
        <v>41</v>
      </c>
      <c r="E3063" s="3">
        <v>1740000</v>
      </c>
      <c r="F3063" s="1">
        <v>2245.16129032258</v>
      </c>
      <c r="M3063" s="1">
        <v>775</v>
      </c>
      <c r="Q3063" s="1" t="s">
        <v>42</v>
      </c>
      <c r="S3063" s="1" t="s">
        <v>42</v>
      </c>
      <c r="T3063" s="1" t="s">
        <v>203</v>
      </c>
      <c r="AA3063" s="1">
        <v>1740000</v>
      </c>
      <c r="AB3063" s="1" t="s">
        <v>2448</v>
      </c>
      <c r="AC3063" s="5">
        <v>43924</v>
      </c>
      <c r="AF3063" s="1">
        <v>10069</v>
      </c>
      <c r="AJ3063" s="1">
        <v>2019</v>
      </c>
      <c r="AL3063" s="1">
        <v>329</v>
      </c>
    </row>
    <row r="3064" spans="1:38" x14ac:dyDescent="0.2">
      <c r="A3064" s="2" t="str">
        <f>HYPERLINK("https://www.compass.com/listing/400-west-61st-street-unit-33e-manhattan-ny-10069/492465746457583905/","400 W 61st St, Unit 33E")</f>
        <v>400 W 61st St, Unit 33E</v>
      </c>
      <c r="B3064" s="2" t="str">
        <f t="shared" si="459"/>
        <v>2 Waterline Square</v>
      </c>
      <c r="C3064" s="1" t="s">
        <v>47</v>
      </c>
      <c r="D3064" s="1" t="s">
        <v>41</v>
      </c>
      <c r="E3064" s="3">
        <v>2662200</v>
      </c>
      <c r="F3064" s="1">
        <v>2283.1903945111399</v>
      </c>
      <c r="M3064" s="4">
        <v>1166</v>
      </c>
      <c r="Q3064" s="1" t="s">
        <v>42</v>
      </c>
      <c r="S3064" s="1" t="s">
        <v>42</v>
      </c>
      <c r="T3064" s="1" t="s">
        <v>203</v>
      </c>
      <c r="AA3064" s="1">
        <v>2662200</v>
      </c>
      <c r="AB3064" s="1" t="s">
        <v>2449</v>
      </c>
      <c r="AC3064" s="5">
        <v>43924</v>
      </c>
      <c r="AF3064" s="1">
        <v>10069</v>
      </c>
      <c r="AJ3064" s="1">
        <v>2019</v>
      </c>
      <c r="AL3064" s="1">
        <v>329</v>
      </c>
    </row>
    <row r="3065" spans="1:38" x14ac:dyDescent="0.2">
      <c r="A3065" s="2" t="str">
        <f>HYPERLINK("https://www.compass.com/listing/400-west-61st-street-unit-24c-manhattan-ny-10069/493191472886250201/","400 W 61st St, Unit 24C")</f>
        <v>400 W 61st St, Unit 24C</v>
      </c>
      <c r="B3065" s="2" t="str">
        <f t="shared" si="459"/>
        <v>2 Waterline Square</v>
      </c>
      <c r="C3065" s="1" t="s">
        <v>47</v>
      </c>
      <c r="D3065" s="1" t="s">
        <v>41</v>
      </c>
      <c r="E3065" s="3">
        <v>3158100</v>
      </c>
      <c r="F3065" s="1">
        <v>2173.5030970406001</v>
      </c>
      <c r="M3065" s="4">
        <v>1453</v>
      </c>
      <c r="Q3065" s="1" t="s">
        <v>42</v>
      </c>
      <c r="S3065" s="1" t="s">
        <v>42</v>
      </c>
      <c r="T3065" s="1" t="s">
        <v>203</v>
      </c>
      <c r="AA3065" s="1">
        <v>3158100</v>
      </c>
      <c r="AB3065" s="1" t="s">
        <v>2450</v>
      </c>
      <c r="AC3065" s="5">
        <v>43924</v>
      </c>
      <c r="AF3065" s="1">
        <v>10069</v>
      </c>
      <c r="AJ3065" s="1">
        <v>2019</v>
      </c>
      <c r="AL3065" s="1">
        <v>329</v>
      </c>
    </row>
    <row r="3066" spans="1:38" x14ac:dyDescent="0.2">
      <c r="A3066" s="2" t="str">
        <f>HYPERLINK("https://www.compass.com/listing/400-west-61st-street-unit-27j-manhattan-ny-10069/493191474939368305/","400 W 61st St, Unit 27J")</f>
        <v>400 W 61st St, Unit 27J</v>
      </c>
      <c r="B3066" s="2" t="str">
        <f t="shared" si="459"/>
        <v>2 Waterline Square</v>
      </c>
      <c r="C3066" s="1" t="s">
        <v>47</v>
      </c>
      <c r="D3066" s="1" t="s">
        <v>41</v>
      </c>
      <c r="E3066" s="3">
        <v>3219000</v>
      </c>
      <c r="F3066" s="1">
        <v>2327.54880694143</v>
      </c>
      <c r="M3066" s="4">
        <v>1383</v>
      </c>
      <c r="Q3066" s="1" t="s">
        <v>42</v>
      </c>
      <c r="S3066" s="1" t="s">
        <v>42</v>
      </c>
      <c r="T3066" s="1" t="s">
        <v>203</v>
      </c>
      <c r="AA3066" s="1">
        <v>3219000</v>
      </c>
      <c r="AB3066" s="1" t="s">
        <v>2451</v>
      </c>
      <c r="AC3066" s="5">
        <v>43924</v>
      </c>
      <c r="AF3066" s="1">
        <v>10069</v>
      </c>
      <c r="AJ3066" s="1">
        <v>2019</v>
      </c>
      <c r="AL3066" s="1">
        <v>329</v>
      </c>
    </row>
    <row r="3067" spans="1:38" x14ac:dyDescent="0.2">
      <c r="A3067" s="2" t="str">
        <f>HYPERLINK("https://www.compass.com/listing/400-west-61st-street-unit-31f-manhattan-ny-10069/495365117985313833/","400 W 61st St, Unit 31F")</f>
        <v>400 W 61st St, Unit 31F</v>
      </c>
      <c r="B3067" s="2" t="str">
        <f t="shared" si="459"/>
        <v>2 Waterline Square</v>
      </c>
      <c r="C3067" s="1" t="s">
        <v>47</v>
      </c>
      <c r="D3067" s="1" t="s">
        <v>41</v>
      </c>
      <c r="E3067" s="3">
        <v>5702200</v>
      </c>
      <c r="F3067" s="1">
        <v>2687.1819038642702</v>
      </c>
      <c r="M3067" s="4">
        <v>2122</v>
      </c>
      <c r="Q3067" s="1" t="s">
        <v>42</v>
      </c>
      <c r="S3067" s="1" t="s">
        <v>42</v>
      </c>
      <c r="T3067" s="1" t="s">
        <v>203</v>
      </c>
      <c r="AA3067" s="1">
        <v>5702200</v>
      </c>
      <c r="AB3067" s="1" t="s">
        <v>2452</v>
      </c>
      <c r="AC3067" s="5">
        <v>43924</v>
      </c>
      <c r="AF3067" s="1">
        <v>10069</v>
      </c>
      <c r="AJ3067" s="1">
        <v>2019</v>
      </c>
      <c r="AL3067" s="1">
        <v>329</v>
      </c>
    </row>
    <row r="3068" spans="1:38" x14ac:dyDescent="0.2">
      <c r="A3068" s="2" t="str">
        <f>HYPERLINK("https://www.compass.com/listing/400-west-61st-street-unit-36d-manhattan-ny-10069/495365119420021689/","400 W 61st St, Unit 36D")</f>
        <v>400 W 61st St, Unit 36D</v>
      </c>
      <c r="B3068" s="2" t="str">
        <f t="shared" si="459"/>
        <v>2 Waterline Square</v>
      </c>
      <c r="C3068" s="1" t="s">
        <v>47</v>
      </c>
      <c r="D3068" s="1" t="s">
        <v>41</v>
      </c>
      <c r="E3068" s="3">
        <v>3900000</v>
      </c>
      <c r="F3068" s="1">
        <v>2485.6596558317401</v>
      </c>
      <c r="M3068" s="4">
        <v>1569</v>
      </c>
      <c r="Q3068" s="1" t="s">
        <v>42</v>
      </c>
      <c r="S3068" s="1" t="s">
        <v>42</v>
      </c>
      <c r="T3068" s="1" t="s">
        <v>203</v>
      </c>
      <c r="AA3068" s="1">
        <v>3900000</v>
      </c>
      <c r="AB3068" s="1" t="s">
        <v>2453</v>
      </c>
      <c r="AC3068" s="5">
        <v>43924</v>
      </c>
      <c r="AF3068" s="1">
        <v>10069</v>
      </c>
      <c r="AJ3068" s="1">
        <v>2019</v>
      </c>
      <c r="AL3068" s="1">
        <v>329</v>
      </c>
    </row>
    <row r="3069" spans="1:38" x14ac:dyDescent="0.2">
      <c r="A3069" s="2" t="str">
        <f>HYPERLINK("https://www.compass.com/listing/400-west-61st-street-unit-22b-manhattan-ny-10069/501874701784986585/","400 W 61st St, Unit 22B")</f>
        <v>400 W 61st St, Unit 22B</v>
      </c>
      <c r="B3069" s="2" t="str">
        <f t="shared" si="459"/>
        <v>2 Waterline Square</v>
      </c>
      <c r="C3069" s="1" t="s">
        <v>47</v>
      </c>
      <c r="D3069" s="1" t="s">
        <v>41</v>
      </c>
      <c r="E3069" s="3">
        <v>4098602</v>
      </c>
      <c r="F3069" s="1">
        <v>2356.8726854513998</v>
      </c>
      <c r="M3069" s="4">
        <v>1739</v>
      </c>
      <c r="Q3069" s="1" t="s">
        <v>42</v>
      </c>
      <c r="S3069" s="1" t="s">
        <v>42</v>
      </c>
      <c r="T3069" s="1" t="s">
        <v>203</v>
      </c>
      <c r="AA3069" s="1">
        <v>4098601.6</v>
      </c>
      <c r="AB3069" s="1" t="s">
        <v>2454</v>
      </c>
      <c r="AC3069" s="5">
        <v>43921</v>
      </c>
      <c r="AF3069" s="1">
        <v>10069</v>
      </c>
      <c r="AJ3069" s="1">
        <v>2019</v>
      </c>
      <c r="AL3069" s="1">
        <v>329</v>
      </c>
    </row>
    <row r="3070" spans="1:38" x14ac:dyDescent="0.2">
      <c r="A3070" s="2" t="str">
        <f>HYPERLINK("https://www.compass.com/listing/400-west-61st-street-unit-25e-manhattan-ny-10069/503323375788337377/","400 W 61st St, Unit 25E")</f>
        <v>400 W 61st St, Unit 25E</v>
      </c>
      <c r="B3070" s="2" t="str">
        <f t="shared" si="459"/>
        <v>2 Waterline Square</v>
      </c>
      <c r="C3070" s="1" t="s">
        <v>47</v>
      </c>
      <c r="D3070" s="1" t="s">
        <v>41</v>
      </c>
      <c r="E3070" s="3">
        <v>2790005</v>
      </c>
      <c r="F3070" s="1">
        <v>2328.8856427378901</v>
      </c>
      <c r="M3070" s="4">
        <v>1198</v>
      </c>
      <c r="Q3070" s="1" t="s">
        <v>42</v>
      </c>
      <c r="S3070" s="1" t="s">
        <v>42</v>
      </c>
      <c r="T3070" s="1" t="s">
        <v>203</v>
      </c>
      <c r="AA3070" s="1">
        <v>2790005</v>
      </c>
      <c r="AB3070" s="1" t="s">
        <v>2455</v>
      </c>
      <c r="AC3070" s="5">
        <v>43938</v>
      </c>
      <c r="AF3070" s="1">
        <v>10069</v>
      </c>
      <c r="AJ3070" s="1">
        <v>2019</v>
      </c>
      <c r="AL3070" s="1">
        <v>329</v>
      </c>
    </row>
    <row r="3071" spans="1:38" x14ac:dyDescent="0.2">
      <c r="A3071" s="2" t="str">
        <f>HYPERLINK("https://www.compass.com/listing/400-west-61st-street-unit-23m-manhattan-ny-10069/508397780472326377/","400 W 61st St, Unit 23M")</f>
        <v>400 W 61st St, Unit 23M</v>
      </c>
      <c r="B3071" s="2" t="str">
        <f t="shared" si="459"/>
        <v>2 Waterline Square</v>
      </c>
      <c r="C3071" s="1" t="s">
        <v>47</v>
      </c>
      <c r="D3071" s="1" t="s">
        <v>41</v>
      </c>
      <c r="E3071" s="3">
        <v>3700000</v>
      </c>
      <c r="F3071" s="1">
        <v>2416.7210973220099</v>
      </c>
      <c r="M3071" s="4">
        <v>1531</v>
      </c>
      <c r="Q3071" s="1" t="s">
        <v>42</v>
      </c>
      <c r="S3071" s="1" t="s">
        <v>42</v>
      </c>
      <c r="T3071" s="1" t="s">
        <v>203</v>
      </c>
      <c r="AA3071" s="1">
        <v>3700000</v>
      </c>
      <c r="AB3071" s="1" t="s">
        <v>2456</v>
      </c>
      <c r="AC3071" s="5">
        <v>43927</v>
      </c>
      <c r="AF3071" s="1">
        <v>10069</v>
      </c>
      <c r="AJ3071" s="1">
        <v>2019</v>
      </c>
      <c r="AL3071" s="1">
        <v>329</v>
      </c>
    </row>
    <row r="3072" spans="1:38" x14ac:dyDescent="0.2">
      <c r="A3072" s="2" t="str">
        <f>HYPERLINK("https://www.compass.com/listing/400-west-61st-street-unit-20m-manhattan-ny-10069/515099719952005193/","400 W 61st St, Unit 20M")</f>
        <v>400 W 61st St, Unit 20M</v>
      </c>
      <c r="B3072" s="2" t="str">
        <f t="shared" si="459"/>
        <v>2 Waterline Square</v>
      </c>
      <c r="C3072" s="1" t="s">
        <v>47</v>
      </c>
      <c r="D3072" s="1" t="s">
        <v>41</v>
      </c>
      <c r="E3072" s="3">
        <v>3800000</v>
      </c>
      <c r="F3072" s="1">
        <v>2482.03788373612</v>
      </c>
      <c r="M3072" s="4">
        <v>1531</v>
      </c>
      <c r="Q3072" s="1" t="s">
        <v>42</v>
      </c>
      <c r="S3072" s="1" t="s">
        <v>42</v>
      </c>
      <c r="T3072" s="1" t="s">
        <v>203</v>
      </c>
      <c r="AA3072" s="1">
        <v>3800000</v>
      </c>
      <c r="AB3072" s="1" t="s">
        <v>2457</v>
      </c>
      <c r="AC3072" s="5">
        <v>43950</v>
      </c>
      <c r="AF3072" s="1">
        <v>10069</v>
      </c>
      <c r="AJ3072" s="1">
        <v>2019</v>
      </c>
      <c r="AL3072" s="1">
        <v>329</v>
      </c>
    </row>
    <row r="3073" spans="1:38" x14ac:dyDescent="0.2">
      <c r="A3073" s="2" t="str">
        <f>HYPERLINK("https://www.compass.com/listing/400-west-61st-street-unit-23b-manhattan-ny-10069/521444202306095673/","400 W 61st St, Unit 23B")</f>
        <v>400 W 61st St, Unit 23B</v>
      </c>
      <c r="B3073" s="2" t="str">
        <f t="shared" si="459"/>
        <v>2 Waterline Square</v>
      </c>
      <c r="C3073" s="1" t="s">
        <v>47</v>
      </c>
      <c r="D3073" s="1" t="s">
        <v>41</v>
      </c>
      <c r="E3073" s="3">
        <v>4577034</v>
      </c>
      <c r="F3073" s="1">
        <v>2631.99180563542</v>
      </c>
      <c r="M3073" s="4">
        <v>1739</v>
      </c>
      <c r="Q3073" s="1" t="s">
        <v>42</v>
      </c>
      <c r="S3073" s="1" t="s">
        <v>42</v>
      </c>
      <c r="T3073" s="1" t="s">
        <v>203</v>
      </c>
      <c r="AA3073" s="1">
        <v>4577033.75</v>
      </c>
      <c r="AB3073" s="1" t="s">
        <v>2458</v>
      </c>
      <c r="AC3073" s="5">
        <v>43951</v>
      </c>
      <c r="AF3073" s="1">
        <v>10069</v>
      </c>
      <c r="AJ3073" s="1">
        <v>2019</v>
      </c>
      <c r="AL3073" s="1">
        <v>329</v>
      </c>
    </row>
    <row r="3074" spans="1:38" x14ac:dyDescent="0.2">
      <c r="A3074" s="2" t="str">
        <f>HYPERLINK("https://www.compass.com/listing/91-leonard-street-unit-17a-manhattan-ny-10013/523614352442670033/","91 Leonard St, Unit 17A")</f>
        <v>91 Leonard St, Unit 17A</v>
      </c>
      <c r="B3074" s="2" t="str">
        <f>HYPERLINK("https://www.compass.com/building/91-leonard-manhattan-ny/282058661633754165/","91 Leonard")</f>
        <v>91 Leonard</v>
      </c>
      <c r="C3074" s="1" t="s">
        <v>40</v>
      </c>
      <c r="D3074" s="1" t="s">
        <v>41</v>
      </c>
      <c r="E3074" s="3">
        <v>4334000</v>
      </c>
      <c r="F3074" s="1">
        <v>2376.0964912280701</v>
      </c>
      <c r="M3074" s="4">
        <v>1824</v>
      </c>
      <c r="Q3074" s="1" t="s">
        <v>42</v>
      </c>
      <c r="S3074" s="1" t="s">
        <v>42</v>
      </c>
      <c r="T3074" s="1" t="s">
        <v>203</v>
      </c>
      <c r="AA3074" s="1">
        <v>4334000</v>
      </c>
      <c r="AB3074" s="1" t="s">
        <v>2459</v>
      </c>
      <c r="AC3074" s="5">
        <v>43963</v>
      </c>
      <c r="AF3074" s="1">
        <v>10013</v>
      </c>
      <c r="AI3074" s="1" t="s">
        <v>52</v>
      </c>
      <c r="AJ3074" s="1">
        <v>2016</v>
      </c>
      <c r="AK3074" s="1" t="s">
        <v>46</v>
      </c>
      <c r="AL3074" s="1">
        <v>111</v>
      </c>
    </row>
    <row r="3075" spans="1:38" x14ac:dyDescent="0.2">
      <c r="A3075" s="2" t="str">
        <f>HYPERLINK("https://www.compass.com/listing/400-west-61st-street-unit-26e-manhattan-ny-10069/527242258369038849/","400 W 61st St, Unit 26E")</f>
        <v>400 W 61st St, Unit 26E</v>
      </c>
      <c r="B3075" s="2" t="str">
        <f>HYPERLINK("https://www.compass.com/building/2-waterline-square-manhattan-ny/405244161814084533/","2 Waterline Square")</f>
        <v>2 Waterline Square</v>
      </c>
      <c r="C3075" s="1" t="s">
        <v>47</v>
      </c>
      <c r="D3075" s="1" t="s">
        <v>41</v>
      </c>
      <c r="E3075" s="3">
        <v>2800000</v>
      </c>
      <c r="F3075" s="1">
        <v>2337.2287145241999</v>
      </c>
      <c r="M3075" s="4">
        <v>1198</v>
      </c>
      <c r="Q3075" s="1" t="s">
        <v>42</v>
      </c>
      <c r="S3075" s="1" t="s">
        <v>42</v>
      </c>
      <c r="T3075" s="1" t="s">
        <v>203</v>
      </c>
      <c r="AA3075" s="1">
        <v>2800000</v>
      </c>
      <c r="AB3075" s="1" t="s">
        <v>2460</v>
      </c>
      <c r="AC3075" s="5">
        <v>43970</v>
      </c>
      <c r="AF3075" s="1">
        <v>10069</v>
      </c>
      <c r="AJ3075" s="1">
        <v>2019</v>
      </c>
      <c r="AL3075" s="1">
        <v>329</v>
      </c>
    </row>
    <row r="3076" spans="1:38" x14ac:dyDescent="0.2">
      <c r="A3076" s="2" t="str">
        <f>HYPERLINK("https://www.compass.com/listing/340-west-72nd-street-unit-a5b-manhattan-ny-10023/532314800142022361/","340 W 72nd St, Unit A5B")</f>
        <v>340 W 72nd St, Unit A5B</v>
      </c>
      <c r="B3076" s="2" t="str">
        <f>HYPERLINK("https://www.compass.com/building/the-chatsworth-annex-manhattan-ny/281960253094963669/","The Chatsworth Annex")</f>
        <v>The Chatsworth Annex</v>
      </c>
      <c r="C3076" s="1" t="s">
        <v>47</v>
      </c>
      <c r="D3076" s="1" t="s">
        <v>41</v>
      </c>
      <c r="E3076" s="3">
        <v>1689281</v>
      </c>
      <c r="Q3076" s="1" t="s">
        <v>191</v>
      </c>
      <c r="S3076" s="1" t="s">
        <v>191</v>
      </c>
      <c r="T3076" s="1" t="s">
        <v>203</v>
      </c>
      <c r="AA3076" s="1">
        <v>1689280.69</v>
      </c>
      <c r="AB3076" s="1" t="s">
        <v>2461</v>
      </c>
      <c r="AC3076" s="5">
        <v>43978</v>
      </c>
      <c r="AF3076" s="1">
        <v>10023</v>
      </c>
      <c r="AJ3076" s="1">
        <v>1920</v>
      </c>
      <c r="AL3076" s="1">
        <v>23</v>
      </c>
    </row>
    <row r="3077" spans="1:38" x14ac:dyDescent="0.2">
      <c r="A3077" s="2" t="str">
        <f>HYPERLINK("https://www.compass.com/listing/400-west-61st-street-unit-21h-manhattan-ny-10069/533040513367529241/","400 W 61st St, Unit 21H")</f>
        <v>400 W 61st St, Unit 21H</v>
      </c>
      <c r="B3077" s="2" t="str">
        <f t="shared" ref="B3077:B3084" si="460">HYPERLINK("https://www.compass.com/building/2-waterline-square-manhattan-ny/405244161814084533/","2 Waterline Square")</f>
        <v>2 Waterline Square</v>
      </c>
      <c r="C3077" s="1" t="s">
        <v>47</v>
      </c>
      <c r="D3077" s="1" t="s">
        <v>41</v>
      </c>
      <c r="E3077" s="3">
        <v>1800000</v>
      </c>
      <c r="F3077" s="1">
        <v>2195.1219512195098</v>
      </c>
      <c r="M3077" s="1">
        <v>820</v>
      </c>
      <c r="Q3077" s="1" t="s">
        <v>42</v>
      </c>
      <c r="S3077" s="1" t="s">
        <v>42</v>
      </c>
      <c r="T3077" s="1" t="s">
        <v>203</v>
      </c>
      <c r="AA3077" s="1">
        <v>1800000</v>
      </c>
      <c r="AB3077" s="1" t="s">
        <v>2462</v>
      </c>
      <c r="AC3077" s="5">
        <v>43980</v>
      </c>
      <c r="AF3077" s="1">
        <v>10069</v>
      </c>
      <c r="AJ3077" s="1">
        <v>2019</v>
      </c>
      <c r="AL3077" s="1">
        <v>329</v>
      </c>
    </row>
    <row r="3078" spans="1:38" x14ac:dyDescent="0.2">
      <c r="A3078" s="2" t="str">
        <f>HYPERLINK("https://www.compass.com/listing/400-west-61st-street-unit-22a-manhattan-ny-10069/536211736125120409/","400 W 61st St, Unit 22A")</f>
        <v>400 W 61st St, Unit 22A</v>
      </c>
      <c r="B3078" s="2" t="str">
        <f t="shared" si="460"/>
        <v>2 Waterline Square</v>
      </c>
      <c r="C3078" s="1" t="s">
        <v>47</v>
      </c>
      <c r="D3078" s="1" t="s">
        <v>41</v>
      </c>
      <c r="E3078" s="3">
        <v>3961500</v>
      </c>
      <c r="F3078" s="1">
        <v>2664.0887693342302</v>
      </c>
      <c r="M3078" s="4">
        <v>1487</v>
      </c>
      <c r="Q3078" s="1" t="s">
        <v>42</v>
      </c>
      <c r="S3078" s="1" t="s">
        <v>42</v>
      </c>
      <c r="T3078" s="1" t="s">
        <v>203</v>
      </c>
      <c r="AA3078" s="1">
        <v>3961500</v>
      </c>
      <c r="AB3078" s="1" t="s">
        <v>2463</v>
      </c>
      <c r="AC3078" s="5">
        <v>43973</v>
      </c>
      <c r="AF3078" s="1">
        <v>10069</v>
      </c>
      <c r="AJ3078" s="1">
        <v>2019</v>
      </c>
      <c r="AL3078" s="1">
        <v>329</v>
      </c>
    </row>
    <row r="3079" spans="1:38" x14ac:dyDescent="0.2">
      <c r="A3079" s="2" t="str">
        <f>HYPERLINK("https://www.compass.com/listing/400-west-61st-street-unit-29h-manhattan-ny-10069/536664796572493593/","400 W 61st St, Unit 29H")</f>
        <v>400 W 61st St, Unit 29H</v>
      </c>
      <c r="B3079" s="2" t="str">
        <f t="shared" si="460"/>
        <v>2 Waterline Square</v>
      </c>
      <c r="C3079" s="1" t="s">
        <v>47</v>
      </c>
      <c r="D3079" s="1" t="s">
        <v>41</v>
      </c>
      <c r="E3079" s="3">
        <v>3178744</v>
      </c>
      <c r="F3079" s="1">
        <v>2607.6650943396198</v>
      </c>
      <c r="M3079" s="4">
        <v>1219</v>
      </c>
      <c r="Q3079" s="1" t="s">
        <v>42</v>
      </c>
      <c r="S3079" s="1" t="s">
        <v>42</v>
      </c>
      <c r="T3079" s="1" t="s">
        <v>203</v>
      </c>
      <c r="AA3079" s="1">
        <v>3178743.75</v>
      </c>
      <c r="AB3079" s="1" t="s">
        <v>2464</v>
      </c>
      <c r="AC3079" s="5">
        <v>43983</v>
      </c>
      <c r="AF3079" s="1">
        <v>10069</v>
      </c>
      <c r="AJ3079" s="1">
        <v>2019</v>
      </c>
      <c r="AL3079" s="1">
        <v>329</v>
      </c>
    </row>
    <row r="3080" spans="1:38" x14ac:dyDescent="0.2">
      <c r="A3080" s="2" t="str">
        <f>HYPERLINK("https://www.compass.com/listing/400-west-61st-street-unit-24h-manhattan-ny-10069/537390270655123041/","400 W 61st St, Unit 24H")</f>
        <v>400 W 61st St, Unit 24H</v>
      </c>
      <c r="B3080" s="2" t="str">
        <f t="shared" si="460"/>
        <v>2 Waterline Square</v>
      </c>
      <c r="C3080" s="1" t="s">
        <v>47</v>
      </c>
      <c r="D3080" s="1" t="s">
        <v>41</v>
      </c>
      <c r="E3080" s="3">
        <v>2500000</v>
      </c>
      <c r="F3080" s="1">
        <v>2558.8536335721501</v>
      </c>
      <c r="M3080" s="1">
        <v>977</v>
      </c>
      <c r="Q3080" s="1" t="s">
        <v>42</v>
      </c>
      <c r="S3080" s="1" t="s">
        <v>42</v>
      </c>
      <c r="T3080" s="1" t="s">
        <v>203</v>
      </c>
      <c r="AA3080" s="1">
        <v>2500000</v>
      </c>
      <c r="AB3080" s="1" t="s">
        <v>2465</v>
      </c>
      <c r="AC3080" s="5">
        <v>43991</v>
      </c>
      <c r="AF3080" s="1">
        <v>10069</v>
      </c>
      <c r="AJ3080" s="1">
        <v>2019</v>
      </c>
      <c r="AL3080" s="1">
        <v>329</v>
      </c>
    </row>
    <row r="3081" spans="1:38" x14ac:dyDescent="0.2">
      <c r="A3081" s="2" t="str">
        <f>HYPERLINK("https://www.compass.com/listing/400-west-61st-street-unit-20l-manhattan-ny-10069/538989291886542833/","400 W 61st St, Unit 20L")</f>
        <v>400 W 61st St, Unit 20L</v>
      </c>
      <c r="B3081" s="2" t="str">
        <f t="shared" si="460"/>
        <v>2 Waterline Square</v>
      </c>
      <c r="C3081" s="1" t="s">
        <v>47</v>
      </c>
      <c r="D3081" s="1" t="s">
        <v>41</v>
      </c>
      <c r="E3081" s="3">
        <v>1960131</v>
      </c>
      <c r="F3081" s="1">
        <v>2260.82035755478</v>
      </c>
      <c r="M3081" s="1">
        <v>867</v>
      </c>
      <c r="Q3081" s="1" t="s">
        <v>42</v>
      </c>
      <c r="S3081" s="1" t="s">
        <v>42</v>
      </c>
      <c r="T3081" s="1" t="s">
        <v>203</v>
      </c>
      <c r="AA3081" s="1">
        <v>1960131.25</v>
      </c>
      <c r="AB3081" s="1" t="s">
        <v>2466</v>
      </c>
      <c r="AC3081" s="5">
        <v>43987</v>
      </c>
      <c r="AF3081" s="1">
        <v>10069</v>
      </c>
      <c r="AJ3081" s="1">
        <v>2019</v>
      </c>
      <c r="AL3081" s="1">
        <v>329</v>
      </c>
    </row>
    <row r="3082" spans="1:38" x14ac:dyDescent="0.2">
      <c r="A3082" s="2" t="str">
        <f>HYPERLINK("https://www.compass.com/listing/400-west-61st-street-unit-28a-manhattan-ny-10069/538989309762744665/","400 W 61st St, Unit 28A")</f>
        <v>400 W 61st St, Unit 28A</v>
      </c>
      <c r="B3082" s="2" t="str">
        <f t="shared" si="460"/>
        <v>2 Waterline Square</v>
      </c>
      <c r="C3082" s="1" t="s">
        <v>47</v>
      </c>
      <c r="D3082" s="1" t="s">
        <v>41</v>
      </c>
      <c r="E3082" s="3">
        <v>4439570</v>
      </c>
      <c r="F3082" s="1">
        <v>2985.5884330867498</v>
      </c>
      <c r="M3082" s="4">
        <v>1487</v>
      </c>
      <c r="Q3082" s="1" t="s">
        <v>42</v>
      </c>
      <c r="S3082" s="1" t="s">
        <v>42</v>
      </c>
      <c r="T3082" s="1" t="s">
        <v>203</v>
      </c>
      <c r="AA3082" s="1">
        <v>4439570</v>
      </c>
      <c r="AB3082" s="1" t="s">
        <v>2467</v>
      </c>
      <c r="AC3082" s="5">
        <v>43987</v>
      </c>
      <c r="AF3082" s="1">
        <v>10069</v>
      </c>
      <c r="AJ3082" s="1">
        <v>2019</v>
      </c>
      <c r="AL3082" s="1">
        <v>329</v>
      </c>
    </row>
    <row r="3083" spans="1:38" x14ac:dyDescent="0.2">
      <c r="A3083" s="2" t="str">
        <f>HYPERLINK("https://www.compass.com/listing/400-west-61st-street-unit-24j-manhattan-ny-10069/542465700449788825/","400 W 61st St, Unit 24J")</f>
        <v>400 W 61st St, Unit 24J</v>
      </c>
      <c r="B3083" s="2" t="str">
        <f t="shared" si="460"/>
        <v>2 Waterline Square</v>
      </c>
      <c r="C3083" s="1" t="s">
        <v>47</v>
      </c>
      <c r="D3083" s="1" t="s">
        <v>41</v>
      </c>
      <c r="E3083" s="3">
        <v>3225000</v>
      </c>
      <c r="F3083" s="1">
        <v>2331.8872017353501</v>
      </c>
      <c r="M3083" s="4">
        <v>1383</v>
      </c>
      <c r="Q3083" s="1" t="s">
        <v>42</v>
      </c>
      <c r="S3083" s="1" t="s">
        <v>42</v>
      </c>
      <c r="T3083" s="1" t="s">
        <v>203</v>
      </c>
      <c r="AA3083" s="1">
        <v>3225000</v>
      </c>
      <c r="AB3083" s="1" t="s">
        <v>2468</v>
      </c>
      <c r="AC3083" s="5">
        <v>43997</v>
      </c>
      <c r="AF3083" s="1">
        <v>10069</v>
      </c>
      <c r="AJ3083" s="1">
        <v>2019</v>
      </c>
      <c r="AL3083" s="1">
        <v>329</v>
      </c>
    </row>
    <row r="3084" spans="1:38" x14ac:dyDescent="0.2">
      <c r="A3084" s="2" t="str">
        <f>HYPERLINK("https://www.compass.com/listing/400-west-61st-street-unit-31e-manhattan-ny-10069/542465708419047481/","400 W 61st St, Unit 31E")</f>
        <v>400 W 61st St, Unit 31E</v>
      </c>
      <c r="B3084" s="2" t="str">
        <f t="shared" si="460"/>
        <v>2 Waterline Square</v>
      </c>
      <c r="C3084" s="1" t="s">
        <v>47</v>
      </c>
      <c r="D3084" s="1" t="s">
        <v>41</v>
      </c>
      <c r="E3084" s="3">
        <v>2682000</v>
      </c>
      <c r="F3084" s="1">
        <v>2300.1715265866201</v>
      </c>
      <c r="M3084" s="4">
        <v>1166</v>
      </c>
      <c r="Q3084" s="1" t="s">
        <v>42</v>
      </c>
      <c r="S3084" s="1" t="s">
        <v>42</v>
      </c>
      <c r="T3084" s="1" t="s">
        <v>203</v>
      </c>
      <c r="AA3084" s="1">
        <v>2682000</v>
      </c>
      <c r="AB3084" s="1" t="s">
        <v>2469</v>
      </c>
      <c r="AC3084" s="5">
        <v>43983</v>
      </c>
      <c r="AF3084" s="1">
        <v>10069</v>
      </c>
      <c r="AJ3084" s="1">
        <v>2019</v>
      </c>
      <c r="AL3084" s="1">
        <v>329</v>
      </c>
    </row>
    <row r="3085" spans="1:38" x14ac:dyDescent="0.2">
      <c r="A3085" s="2" t="str">
        <f>HYPERLINK("https://www.compass.com/listing/175-west-95th-street-unit-8f-manhattan-ny-10025/542466093766534545/","175 W 95th St, Unit 8F")</f>
        <v>175 W 95th St, Unit 8F</v>
      </c>
      <c r="B3085" s="2" t="str">
        <f>HYPERLINK("https://www.compass.com/building/175-w-95th-manhattan-ny/292876785429866517/","175 W 95th")</f>
        <v>175 W 95th</v>
      </c>
      <c r="C3085" s="1" t="s">
        <v>47</v>
      </c>
      <c r="D3085" s="1" t="s">
        <v>41</v>
      </c>
      <c r="E3085" s="3">
        <v>967338</v>
      </c>
      <c r="F3085" s="1">
        <v>1019.32297154899</v>
      </c>
      <c r="M3085" s="1">
        <v>949</v>
      </c>
      <c r="Q3085" s="1" t="s">
        <v>42</v>
      </c>
      <c r="S3085" s="1" t="s">
        <v>42</v>
      </c>
      <c r="T3085" s="1" t="s">
        <v>203</v>
      </c>
      <c r="AA3085" s="1">
        <v>967337.5</v>
      </c>
      <c r="AB3085" s="1" t="s">
        <v>2470</v>
      </c>
      <c r="AC3085" s="5">
        <v>43994</v>
      </c>
      <c r="AF3085" s="1">
        <v>10025</v>
      </c>
      <c r="AI3085" s="1" t="s">
        <v>52</v>
      </c>
      <c r="AJ3085" s="1">
        <v>1971</v>
      </c>
      <c r="AK3085" s="1" t="s">
        <v>50</v>
      </c>
      <c r="AL3085" s="1">
        <v>226</v>
      </c>
    </row>
    <row r="3086" spans="1:38" x14ac:dyDescent="0.2">
      <c r="A3086" s="2" t="str">
        <f>HYPERLINK("https://www.compass.com/listing/400-west-61st-street-unit-20c-manhattan-ny-10069/543190568497700817/","400 W 61st St, Unit 20C")</f>
        <v>400 W 61st St, Unit 20C</v>
      </c>
      <c r="B3086" s="2" t="str">
        <f t="shared" ref="B3086:B3088" si="461">HYPERLINK("https://www.compass.com/building/2-waterline-square-manhattan-ny/405244161814084533/","2 Waterline Square")</f>
        <v>2 Waterline Square</v>
      </c>
      <c r="C3086" s="1" t="s">
        <v>47</v>
      </c>
      <c r="D3086" s="1" t="s">
        <v>41</v>
      </c>
      <c r="E3086" s="3">
        <v>2385000</v>
      </c>
      <c r="F3086" s="1">
        <v>2471.50259067357</v>
      </c>
      <c r="M3086" s="1">
        <v>965</v>
      </c>
      <c r="Q3086" s="1" t="s">
        <v>42</v>
      </c>
      <c r="S3086" s="1" t="s">
        <v>42</v>
      </c>
      <c r="T3086" s="1" t="s">
        <v>203</v>
      </c>
      <c r="AA3086" s="1">
        <v>2385000</v>
      </c>
      <c r="AB3086" s="1" t="s">
        <v>2471</v>
      </c>
      <c r="AC3086" s="5">
        <v>43944</v>
      </c>
      <c r="AF3086" s="1">
        <v>10069</v>
      </c>
      <c r="AJ3086" s="1">
        <v>2019</v>
      </c>
      <c r="AL3086" s="1">
        <v>329</v>
      </c>
    </row>
    <row r="3087" spans="1:38" x14ac:dyDescent="0.2">
      <c r="A3087" s="2" t="str">
        <f>HYPERLINK("https://www.compass.com/listing/400-west-61st-street-unit-20j-manhattan-ny-10069/543190569244303841/","400 W 61st St, Unit 20J")</f>
        <v>400 W 61st St, Unit 20J</v>
      </c>
      <c r="B3087" s="2" t="str">
        <f t="shared" si="461"/>
        <v>2 Waterline Square</v>
      </c>
      <c r="C3087" s="1" t="s">
        <v>47</v>
      </c>
      <c r="D3087" s="1" t="s">
        <v>41</v>
      </c>
      <c r="E3087" s="3">
        <v>2621994</v>
      </c>
      <c r="F3087" s="1">
        <v>2256.44901032702</v>
      </c>
      <c r="M3087" s="4">
        <v>1162</v>
      </c>
      <c r="Q3087" s="1" t="s">
        <v>42</v>
      </c>
      <c r="S3087" s="1" t="s">
        <v>42</v>
      </c>
      <c r="T3087" s="1" t="s">
        <v>203</v>
      </c>
      <c r="AA3087" s="1">
        <v>2621993.75</v>
      </c>
      <c r="AB3087" s="1" t="s">
        <v>2472</v>
      </c>
      <c r="AC3087" s="5">
        <v>43990</v>
      </c>
      <c r="AF3087" s="1">
        <v>10069</v>
      </c>
      <c r="AJ3087" s="1">
        <v>2019</v>
      </c>
      <c r="AL3087" s="1">
        <v>329</v>
      </c>
    </row>
    <row r="3088" spans="1:38" x14ac:dyDescent="0.2">
      <c r="A3088" s="2" t="str">
        <f>HYPERLINK("https://www.compass.com/listing/400-west-61st-street-unit-22j-manhattan-ny-10069/543913344837773313/","400 W 61st St, Unit 22J")</f>
        <v>400 W 61st St, Unit 22J</v>
      </c>
      <c r="B3088" s="2" t="str">
        <f t="shared" si="461"/>
        <v>2 Waterline Square</v>
      </c>
      <c r="C3088" s="1" t="s">
        <v>47</v>
      </c>
      <c r="D3088" s="1" t="s">
        <v>41</v>
      </c>
      <c r="E3088" s="3">
        <v>2703454</v>
      </c>
      <c r="F3088" s="1">
        <v>2326.5522805507699</v>
      </c>
      <c r="M3088" s="4">
        <v>1162</v>
      </c>
      <c r="Q3088" s="1" t="s">
        <v>42</v>
      </c>
      <c r="S3088" s="1" t="s">
        <v>42</v>
      </c>
      <c r="T3088" s="1" t="s">
        <v>203</v>
      </c>
      <c r="AA3088" s="1">
        <v>2703453.75</v>
      </c>
      <c r="AB3088" s="1" t="s">
        <v>2473</v>
      </c>
      <c r="AC3088" s="5">
        <v>43999</v>
      </c>
      <c r="AF3088" s="1">
        <v>10069</v>
      </c>
      <c r="AJ3088" s="1">
        <v>2019</v>
      </c>
      <c r="AL3088" s="1">
        <v>329</v>
      </c>
    </row>
    <row r="3089" spans="1:38" x14ac:dyDescent="0.2">
      <c r="A3089" s="2" t="str">
        <f>HYPERLINK("https://www.compass.com/listing/184-east-64th-street-unit-b-manhattan-ny-10065/546138132612306081/","184 E 64th St, Unit B")</f>
        <v>184 E 64th St, Unit B</v>
      </c>
      <c r="B3089" s="2" t="str">
        <f>HYPERLINK("https://www.compass.com/building/the-gianna-manhattan-ny/282037412736026565/","The Gianna")</f>
        <v>The Gianna</v>
      </c>
      <c r="C3089" s="1" t="s">
        <v>53</v>
      </c>
      <c r="D3089" s="1" t="s">
        <v>41</v>
      </c>
      <c r="E3089" s="3">
        <v>3400000</v>
      </c>
      <c r="Q3089" s="1" t="s">
        <v>42</v>
      </c>
      <c r="S3089" s="1" t="s">
        <v>42</v>
      </c>
      <c r="T3089" s="1" t="s">
        <v>203</v>
      </c>
      <c r="AA3089" s="1">
        <v>3400000</v>
      </c>
      <c r="AB3089" s="1" t="s">
        <v>2474</v>
      </c>
      <c r="AC3089" s="5">
        <v>38180</v>
      </c>
      <c r="AF3089" s="1">
        <v>10065</v>
      </c>
      <c r="AI3089" s="1" t="s">
        <v>73</v>
      </c>
      <c r="AJ3089" s="1">
        <v>2017</v>
      </c>
      <c r="AL3089" s="1">
        <v>5</v>
      </c>
    </row>
    <row r="3090" spans="1:38" x14ac:dyDescent="0.2">
      <c r="A3090" s="2" t="str">
        <f>HYPERLINK("https://www.compass.com/listing/400-west-61st-street-unit-21n-manhattan-ny-10069/547793242635558785/","400 W 61st St, Unit 21N")</f>
        <v>400 W 61st St, Unit 21N</v>
      </c>
      <c r="B3090" s="2" t="str">
        <f t="shared" ref="B3090:B3092" si="462">HYPERLINK("https://www.compass.com/building/2-waterline-square-manhattan-ny/405244161814084533/","2 Waterline Square")</f>
        <v>2 Waterline Square</v>
      </c>
      <c r="C3090" s="1" t="s">
        <v>47</v>
      </c>
      <c r="D3090" s="1" t="s">
        <v>41</v>
      </c>
      <c r="E3090" s="3">
        <v>2891830</v>
      </c>
      <c r="F3090" s="1">
        <v>2233.0733590733498</v>
      </c>
      <c r="M3090" s="4">
        <v>1295</v>
      </c>
      <c r="Q3090" s="1" t="s">
        <v>42</v>
      </c>
      <c r="S3090" s="1" t="s">
        <v>42</v>
      </c>
      <c r="T3090" s="1" t="s">
        <v>203</v>
      </c>
      <c r="AA3090" s="1">
        <v>2891830</v>
      </c>
      <c r="AB3090" s="1" t="s">
        <v>2475</v>
      </c>
      <c r="AC3090" s="5">
        <v>43993</v>
      </c>
      <c r="AF3090" s="1">
        <v>10069</v>
      </c>
      <c r="AJ3090" s="1">
        <v>2019</v>
      </c>
      <c r="AL3090" s="1">
        <v>329</v>
      </c>
    </row>
    <row r="3091" spans="1:38" x14ac:dyDescent="0.2">
      <c r="A3091" s="2" t="str">
        <f>HYPERLINK("https://www.compass.com/listing/400-west-61st-street-unit-22h-manhattan-ny-10069/547793245915704521/","400 W 61st St, Unit 22H")</f>
        <v>400 W 61st St, Unit 22H</v>
      </c>
      <c r="B3091" s="2" t="str">
        <f t="shared" si="462"/>
        <v>2 Waterline Square</v>
      </c>
      <c r="C3091" s="1" t="s">
        <v>47</v>
      </c>
      <c r="D3091" s="1" t="s">
        <v>41</v>
      </c>
      <c r="E3091" s="3">
        <v>1779235</v>
      </c>
      <c r="F3091" s="1">
        <v>2169.7988780487799</v>
      </c>
      <c r="M3091" s="1">
        <v>820</v>
      </c>
      <c r="Q3091" s="1" t="s">
        <v>42</v>
      </c>
      <c r="S3091" s="1" t="s">
        <v>42</v>
      </c>
      <c r="T3091" s="1" t="s">
        <v>203</v>
      </c>
      <c r="AA3091" s="1">
        <v>1779235.08</v>
      </c>
      <c r="AB3091" s="1" t="s">
        <v>2476</v>
      </c>
      <c r="AC3091" s="5">
        <v>43997</v>
      </c>
      <c r="AF3091" s="1">
        <v>10069</v>
      </c>
      <c r="AJ3091" s="1">
        <v>2019</v>
      </c>
      <c r="AL3091" s="1">
        <v>329</v>
      </c>
    </row>
    <row r="3092" spans="1:38" x14ac:dyDescent="0.2">
      <c r="A3092" s="2" t="str">
        <f>HYPERLINK("https://www.compass.com/listing/400-west-61st-street-unit-27f-manhattan-ny-10069/548272278784661745/","400 W 61st St, Unit 27F")</f>
        <v>400 W 61st St, Unit 27F</v>
      </c>
      <c r="B3092" s="2" t="str">
        <f t="shared" si="462"/>
        <v>2 Waterline Square</v>
      </c>
      <c r="C3092" s="1" t="s">
        <v>47</v>
      </c>
      <c r="D3092" s="1" t="s">
        <v>41</v>
      </c>
      <c r="E3092" s="3">
        <v>1960131</v>
      </c>
      <c r="F3092" s="1">
        <v>2529.2016129032199</v>
      </c>
      <c r="M3092" s="1">
        <v>775</v>
      </c>
      <c r="Q3092" s="1" t="s">
        <v>42</v>
      </c>
      <c r="S3092" s="1" t="s">
        <v>42</v>
      </c>
      <c r="T3092" s="1" t="s">
        <v>203</v>
      </c>
      <c r="AA3092" s="1">
        <v>1960131.25</v>
      </c>
      <c r="AB3092" s="1" t="s">
        <v>2477</v>
      </c>
      <c r="AC3092" s="5">
        <v>44004</v>
      </c>
      <c r="AF3092" s="1">
        <v>10069</v>
      </c>
      <c r="AJ3092" s="1">
        <v>2019</v>
      </c>
      <c r="AL3092" s="1">
        <v>329</v>
      </c>
    </row>
    <row r="3093" spans="1:38" x14ac:dyDescent="0.2">
      <c r="A3093" s="2" t="str">
        <f>HYPERLINK("https://www.compass.com/listing/591-3rd-avenue-unit-21b-manhattan-ny-10016/551892413235792873/","591 3rd Ave, Unit 21B")</f>
        <v>591 3rd Ave, Unit 21B</v>
      </c>
      <c r="B3093" s="2" t="str">
        <f>HYPERLINK("https://www.compass.com/building/the-lindley-manhattan-ny/282058799928343829/","The Lindley")</f>
        <v>The Lindley</v>
      </c>
      <c r="C3093" s="1" t="s">
        <v>165</v>
      </c>
      <c r="D3093" s="1" t="s">
        <v>41</v>
      </c>
      <c r="E3093" s="3">
        <v>2295000</v>
      </c>
      <c r="F3093" s="1">
        <v>1811.36543014996</v>
      </c>
      <c r="M3093" s="4">
        <v>1267</v>
      </c>
      <c r="Q3093" s="1" t="s">
        <v>42</v>
      </c>
      <c r="S3093" s="1" t="s">
        <v>42</v>
      </c>
      <c r="T3093" s="1" t="s">
        <v>203</v>
      </c>
      <c r="AA3093" s="1">
        <v>2295000</v>
      </c>
      <c r="AB3093" s="1" t="s">
        <v>2478</v>
      </c>
      <c r="AC3093" s="5">
        <v>43998</v>
      </c>
      <c r="AF3093" s="1">
        <v>10016</v>
      </c>
      <c r="AI3093" s="1" t="s">
        <v>166</v>
      </c>
      <c r="AJ3093" s="1">
        <v>2018</v>
      </c>
      <c r="AK3093" s="1" t="s">
        <v>55</v>
      </c>
      <c r="AL3093" s="1">
        <v>74</v>
      </c>
    </row>
    <row r="3094" spans="1:38" x14ac:dyDescent="0.2">
      <c r="A3094" s="2" t="str">
        <f>HYPERLINK("https://www.compass.com/listing/400-west-61st-street-unit-30h-manhattan-ny-10069/551893801273399113/","400 W 61st St, Unit 30H")</f>
        <v>400 W 61st St, Unit 30H</v>
      </c>
      <c r="B3094" s="2" t="str">
        <f>HYPERLINK("https://www.compass.com/building/2-waterline-square-manhattan-ny/405244161814084533/","2 Waterline Square")</f>
        <v>2 Waterline Square</v>
      </c>
      <c r="C3094" s="1" t="s">
        <v>47</v>
      </c>
      <c r="D3094" s="1" t="s">
        <v>41</v>
      </c>
      <c r="E3094" s="3">
        <v>3190000</v>
      </c>
      <c r="F3094" s="1">
        <v>2616.8990976209998</v>
      </c>
      <c r="M3094" s="4">
        <v>1219</v>
      </c>
      <c r="Q3094" s="1" t="s">
        <v>42</v>
      </c>
      <c r="S3094" s="1" t="s">
        <v>42</v>
      </c>
      <c r="T3094" s="1" t="s">
        <v>203</v>
      </c>
      <c r="AA3094" s="1">
        <v>3190000</v>
      </c>
      <c r="AB3094" s="1" t="s">
        <v>2479</v>
      </c>
      <c r="AC3094" s="5">
        <v>43990</v>
      </c>
      <c r="AF3094" s="1">
        <v>10069</v>
      </c>
      <c r="AJ3094" s="1">
        <v>2019</v>
      </c>
      <c r="AL3094" s="1">
        <v>329</v>
      </c>
    </row>
    <row r="3095" spans="1:38" x14ac:dyDescent="0.2">
      <c r="A3095" s="2" t="str">
        <f>HYPERLINK("https://www.compass.com/listing/1810-3rd-avenue-unit-3a-manhattan-ny-10029/552621385108274305/","1810 3rd Ave, Unit 3A")</f>
        <v>1810 3rd Ave, Unit 3A</v>
      </c>
      <c r="B3095" s="2" t="str">
        <f>HYPERLINK("https://www.compass.com/building/the-art-house-condominiums-manhattan-ny/281989881993998229/","The Art House Condominiums")</f>
        <v>The Art House Condominiums</v>
      </c>
      <c r="C3095" s="1" t="s">
        <v>82</v>
      </c>
      <c r="D3095" s="1" t="s">
        <v>41</v>
      </c>
      <c r="E3095" s="3">
        <v>615000</v>
      </c>
      <c r="F3095" s="1">
        <v>946.15384615384596</v>
      </c>
      <c r="M3095" s="1">
        <v>650</v>
      </c>
      <c r="Q3095" s="1" t="s">
        <v>42</v>
      </c>
      <c r="S3095" s="1" t="s">
        <v>42</v>
      </c>
      <c r="T3095" s="1" t="s">
        <v>203</v>
      </c>
      <c r="AA3095" s="1">
        <v>615000</v>
      </c>
      <c r="AB3095" s="1" t="s">
        <v>2480</v>
      </c>
      <c r="AC3095" s="5">
        <v>44004</v>
      </c>
      <c r="AF3095" s="1">
        <v>10029</v>
      </c>
      <c r="AI3095" s="1" t="s">
        <v>76</v>
      </c>
      <c r="AJ3095" s="1">
        <v>2008</v>
      </c>
      <c r="AK3095" s="1" t="s">
        <v>55</v>
      </c>
      <c r="AL3095" s="1">
        <v>76</v>
      </c>
    </row>
    <row r="3096" spans="1:38" x14ac:dyDescent="0.2">
      <c r="A3096" s="2" t="str">
        <f>HYPERLINK("https://www.compass.com/listing/400-west-61st-street-unit-23e-manhattan-ny-10069/556242132103769009/","400 W 61st St, Unit 23E")</f>
        <v>400 W 61st St, Unit 23E</v>
      </c>
      <c r="B3096" s="2" t="str">
        <f t="shared" ref="B3096:B3097" si="463">HYPERLINK("https://www.compass.com/building/2-waterline-square-manhattan-ny/405244161814084533/","2 Waterline Square")</f>
        <v>2 Waterline Square</v>
      </c>
      <c r="C3096" s="1" t="s">
        <v>47</v>
      </c>
      <c r="D3096" s="1" t="s">
        <v>41</v>
      </c>
      <c r="E3096" s="3">
        <v>3207488</v>
      </c>
      <c r="F3096" s="1">
        <v>2302.5753768844202</v>
      </c>
      <c r="M3096" s="4">
        <v>1393</v>
      </c>
      <c r="Q3096" s="1" t="s">
        <v>42</v>
      </c>
      <c r="S3096" s="1" t="s">
        <v>42</v>
      </c>
      <c r="T3096" s="1" t="s">
        <v>203</v>
      </c>
      <c r="AA3096" s="1">
        <v>3207487.5</v>
      </c>
      <c r="AB3096" s="1" t="s">
        <v>2481</v>
      </c>
      <c r="AC3096" s="5">
        <v>44004</v>
      </c>
      <c r="AF3096" s="1">
        <v>10069</v>
      </c>
      <c r="AJ3096" s="1">
        <v>2019</v>
      </c>
      <c r="AL3096" s="1">
        <v>329</v>
      </c>
    </row>
    <row r="3097" spans="1:38" x14ac:dyDescent="0.2">
      <c r="A3097" s="2" t="str">
        <f>HYPERLINK("https://www.compass.com/listing/400-west-61st-street-unit-25b-manhattan-ny-10069/556242140073132953/","400 W 61st St, Unit 25B")</f>
        <v>400 W 61st St, Unit 25B</v>
      </c>
      <c r="B3097" s="2" t="str">
        <f t="shared" si="463"/>
        <v>2 Waterline Square</v>
      </c>
      <c r="C3097" s="1" t="s">
        <v>47</v>
      </c>
      <c r="D3097" s="1" t="s">
        <v>41</v>
      </c>
      <c r="E3097" s="3">
        <v>4738000</v>
      </c>
      <c r="F3097" s="1">
        <v>2599.0126165661</v>
      </c>
      <c r="M3097" s="4">
        <v>1823</v>
      </c>
      <c r="Q3097" s="1" t="s">
        <v>42</v>
      </c>
      <c r="S3097" s="1" t="s">
        <v>42</v>
      </c>
      <c r="T3097" s="1" t="s">
        <v>203</v>
      </c>
      <c r="AA3097" s="1">
        <v>4738000</v>
      </c>
      <c r="AB3097" s="1" t="s">
        <v>2482</v>
      </c>
      <c r="AC3097" s="5">
        <v>44004</v>
      </c>
      <c r="AF3097" s="1">
        <v>10069</v>
      </c>
      <c r="AJ3097" s="1">
        <v>2019</v>
      </c>
      <c r="AL3097" s="1">
        <v>329</v>
      </c>
    </row>
    <row r="3098" spans="1:38" x14ac:dyDescent="0.2">
      <c r="A3098" s="2" t="str">
        <f>HYPERLINK("https://www.compass.com/listing/34-east-13th-street-unit-1-manhattan-ny-10003/556963360158403641/","34 E 13th St, Unit 1")</f>
        <v>34 E 13th St, Unit 1</v>
      </c>
      <c r="B3098" s="2" t="str">
        <f>HYPERLINK("https://www.compass.com/building/34-e-13th-st-manhattan-ny-10003/344156397332654997/","34 E 13th St")</f>
        <v>34 E 13th St</v>
      </c>
      <c r="C3098" s="1" t="s">
        <v>2389</v>
      </c>
      <c r="D3098" s="1" t="s">
        <v>41</v>
      </c>
      <c r="E3098" s="3">
        <v>61043</v>
      </c>
      <c r="F3098" s="1">
        <v>1419.6046511627901</v>
      </c>
      <c r="M3098" s="1">
        <v>43</v>
      </c>
      <c r="Q3098" s="1" t="s">
        <v>42</v>
      </c>
      <c r="S3098" s="1" t="s">
        <v>42</v>
      </c>
      <c r="T3098" s="1" t="s">
        <v>203</v>
      </c>
      <c r="AA3098" s="1">
        <v>61043</v>
      </c>
      <c r="AB3098" s="1" t="s">
        <v>2483</v>
      </c>
      <c r="AC3098" s="5">
        <v>44013</v>
      </c>
      <c r="AF3098" s="1">
        <v>10003</v>
      </c>
    </row>
    <row r="3099" spans="1:38" x14ac:dyDescent="0.2">
      <c r="A3099" s="2" t="str">
        <f>HYPERLINK("https://www.compass.com/listing/400-west-61st-street-unit-21g-manhattan-ny-10069/557693044626103889/","400 W 61st St, Unit 21G")</f>
        <v>400 W 61st St, Unit 21G</v>
      </c>
      <c r="B3099" s="2" t="str">
        <f>HYPERLINK("https://www.compass.com/building/2-waterline-square-manhattan-ny/405244161814084533/","2 Waterline Square")</f>
        <v>2 Waterline Square</v>
      </c>
      <c r="C3099" s="1" t="s">
        <v>47</v>
      </c>
      <c r="D3099" s="1" t="s">
        <v>41</v>
      </c>
      <c r="E3099" s="3">
        <v>1934675</v>
      </c>
      <c r="F3099" s="1">
        <v>2270.7453051643101</v>
      </c>
      <c r="M3099" s="1">
        <v>852</v>
      </c>
      <c r="Q3099" s="1" t="s">
        <v>42</v>
      </c>
      <c r="S3099" s="1" t="s">
        <v>42</v>
      </c>
      <c r="T3099" s="1" t="s">
        <v>203</v>
      </c>
      <c r="AA3099" s="1">
        <v>1934675</v>
      </c>
      <c r="AB3099" s="1" t="s">
        <v>2484</v>
      </c>
      <c r="AC3099" s="5">
        <v>44012</v>
      </c>
      <c r="AF3099" s="1">
        <v>10069</v>
      </c>
      <c r="AJ3099" s="1">
        <v>2019</v>
      </c>
      <c r="AL3099" s="1">
        <v>329</v>
      </c>
    </row>
    <row r="3100" spans="1:38" x14ac:dyDescent="0.2">
      <c r="A3100" s="2" t="str">
        <f>HYPERLINK("https://www.compass.com/listing/340-west-72nd-street-unit-1103-manhattan-ny-10023/558418161018483817/","340 W 72nd St, Unit 1103")</f>
        <v>340 W 72nd St, Unit 1103</v>
      </c>
      <c r="B3100" s="2" t="str">
        <f>HYPERLINK("https://www.compass.com/building/the-chatsworth-annex-manhattan-ny/281960253094963669/","The Chatsworth Annex")</f>
        <v>The Chatsworth Annex</v>
      </c>
      <c r="C3100" s="1" t="s">
        <v>47</v>
      </c>
      <c r="D3100" s="1" t="s">
        <v>41</v>
      </c>
      <c r="E3100" s="3">
        <v>5519794</v>
      </c>
      <c r="Q3100" s="1" t="s">
        <v>191</v>
      </c>
      <c r="S3100" s="1" t="s">
        <v>191</v>
      </c>
      <c r="T3100" s="1" t="s">
        <v>203</v>
      </c>
      <c r="AA3100" s="1">
        <v>5519794.1799999997</v>
      </c>
      <c r="AB3100" s="1" t="s">
        <v>2485</v>
      </c>
      <c r="AC3100" s="5">
        <v>44019</v>
      </c>
      <c r="AF3100" s="1">
        <v>10023</v>
      </c>
      <c r="AJ3100" s="1">
        <v>1920</v>
      </c>
      <c r="AL3100" s="1">
        <v>23</v>
      </c>
    </row>
    <row r="3101" spans="1:38" x14ac:dyDescent="0.2">
      <c r="A3101" s="2" t="str">
        <f>HYPERLINK("https://www.compass.com/listing/400-west-61st-street-unit-21j-manhattan-ny-10069/559143815809035537/","400 W 61st St, Unit 21J")</f>
        <v>400 W 61st St, Unit 21J</v>
      </c>
      <c r="B3101" s="2" t="str">
        <f t="shared" ref="B3101:B3105" si="464">HYPERLINK("https://www.compass.com/building/2-waterline-square-manhattan-ny/405244161814084533/","2 Waterline Square")</f>
        <v>2 Waterline Square</v>
      </c>
      <c r="C3101" s="1" t="s">
        <v>47</v>
      </c>
      <c r="D3101" s="1" t="s">
        <v>41</v>
      </c>
      <c r="E3101" s="3">
        <v>2662724</v>
      </c>
      <c r="F3101" s="1">
        <v>2291.5006454388899</v>
      </c>
      <c r="M3101" s="4">
        <v>1162</v>
      </c>
      <c r="Q3101" s="1" t="s">
        <v>42</v>
      </c>
      <c r="S3101" s="1" t="s">
        <v>42</v>
      </c>
      <c r="T3101" s="1" t="s">
        <v>203</v>
      </c>
      <c r="AA3101" s="1">
        <v>2662723.75</v>
      </c>
      <c r="AB3101" s="1" t="s">
        <v>2486</v>
      </c>
      <c r="AC3101" s="5">
        <v>43969</v>
      </c>
      <c r="AF3101" s="1">
        <v>10069</v>
      </c>
      <c r="AJ3101" s="1">
        <v>2019</v>
      </c>
      <c r="AL3101" s="1">
        <v>329</v>
      </c>
    </row>
    <row r="3102" spans="1:38" x14ac:dyDescent="0.2">
      <c r="A3102" s="2" t="str">
        <f>HYPERLINK("https://www.compass.com/listing/400-west-61st-street-unit-23k-manhattan-ny-10069/562202493042921969/","400 W 61st St, Unit 23K")</f>
        <v>400 W 61st St, Unit 23K</v>
      </c>
      <c r="B3102" s="2" t="str">
        <f t="shared" si="464"/>
        <v>2 Waterline Square</v>
      </c>
      <c r="C3102" s="1" t="s">
        <v>47</v>
      </c>
      <c r="D3102" s="1" t="s">
        <v>41</v>
      </c>
      <c r="E3102" s="3">
        <v>2011044</v>
      </c>
      <c r="F3102" s="1">
        <v>2452.4923780487802</v>
      </c>
      <c r="M3102" s="1">
        <v>820</v>
      </c>
      <c r="Q3102" s="1" t="s">
        <v>42</v>
      </c>
      <c r="S3102" s="1" t="s">
        <v>42</v>
      </c>
      <c r="T3102" s="1" t="s">
        <v>203</v>
      </c>
      <c r="AA3102" s="1">
        <v>2011043.75</v>
      </c>
      <c r="AB3102" s="1" t="s">
        <v>2487</v>
      </c>
      <c r="AC3102" s="5">
        <v>44018</v>
      </c>
      <c r="AF3102" s="1">
        <v>10069</v>
      </c>
      <c r="AJ3102" s="1">
        <v>2019</v>
      </c>
      <c r="AL3102" s="1">
        <v>329</v>
      </c>
    </row>
    <row r="3103" spans="1:38" x14ac:dyDescent="0.2">
      <c r="A3103" s="2" t="str">
        <f>HYPERLINK("https://www.compass.com/listing/400-west-61st-street-unit-22m-manhattan-ny-10069/562766476438840569/","400 W 61st St, Unit 22M")</f>
        <v>400 W 61st St, Unit 22M</v>
      </c>
      <c r="B3103" s="2" t="str">
        <f t="shared" si="464"/>
        <v>2 Waterline Square</v>
      </c>
      <c r="C3103" s="1" t="s">
        <v>47</v>
      </c>
      <c r="D3103" s="1" t="s">
        <v>41</v>
      </c>
      <c r="E3103" s="3">
        <v>3950810</v>
      </c>
      <c r="F3103" s="1">
        <v>2580.5421293272302</v>
      </c>
      <c r="M3103" s="4">
        <v>1531</v>
      </c>
      <c r="Q3103" s="1" t="s">
        <v>42</v>
      </c>
      <c r="S3103" s="1" t="s">
        <v>42</v>
      </c>
      <c r="T3103" s="1" t="s">
        <v>203</v>
      </c>
      <c r="AA3103" s="1">
        <v>3950810</v>
      </c>
      <c r="AB3103" s="1" t="s">
        <v>2488</v>
      </c>
      <c r="AC3103" s="5">
        <v>44022</v>
      </c>
      <c r="AF3103" s="1">
        <v>10069</v>
      </c>
      <c r="AJ3103" s="1">
        <v>2019</v>
      </c>
      <c r="AL3103" s="1">
        <v>329</v>
      </c>
    </row>
    <row r="3104" spans="1:38" x14ac:dyDescent="0.2">
      <c r="A3104" s="2" t="str">
        <f>HYPERLINK("https://www.compass.com/listing/400-west-61st-street-unit-27h-manhattan-ny-10069/562766493124043753/","400 W 61st St, Unit 27H")</f>
        <v>400 W 61st St, Unit 27H</v>
      </c>
      <c r="B3104" s="2" t="str">
        <f t="shared" si="464"/>
        <v>2 Waterline Square</v>
      </c>
      <c r="C3104" s="1" t="s">
        <v>47</v>
      </c>
      <c r="D3104" s="1" t="s">
        <v>41</v>
      </c>
      <c r="E3104" s="3">
        <v>3098014</v>
      </c>
      <c r="F3104" s="1">
        <v>2541.4386792452801</v>
      </c>
      <c r="M3104" s="4">
        <v>1219</v>
      </c>
      <c r="Q3104" s="1" t="s">
        <v>42</v>
      </c>
      <c r="S3104" s="1" t="s">
        <v>42</v>
      </c>
      <c r="T3104" s="1" t="s">
        <v>203</v>
      </c>
      <c r="AA3104" s="1">
        <v>3098013.75</v>
      </c>
      <c r="AB3104" s="1" t="s">
        <v>2489</v>
      </c>
      <c r="AC3104" s="5">
        <v>43916</v>
      </c>
      <c r="AF3104" s="1">
        <v>10069</v>
      </c>
      <c r="AJ3104" s="1">
        <v>2019</v>
      </c>
      <c r="AL3104" s="1">
        <v>329</v>
      </c>
    </row>
    <row r="3105" spans="1:38" x14ac:dyDescent="0.2">
      <c r="A3105" s="2" t="str">
        <f>HYPERLINK("https://www.compass.com/listing/400-west-61st-street-unit-30e-manhattan-ny-10069/562766498333313505/","400 W 61st St, Unit 30E")</f>
        <v>400 W 61st St, Unit 30E</v>
      </c>
      <c r="B3105" s="2" t="str">
        <f t="shared" si="464"/>
        <v>2 Waterline Square</v>
      </c>
      <c r="C3105" s="1" t="s">
        <v>47</v>
      </c>
      <c r="D3105" s="1" t="s">
        <v>41</v>
      </c>
      <c r="E3105" s="3">
        <v>2673000</v>
      </c>
      <c r="F3105" s="1">
        <v>2231.21869782971</v>
      </c>
      <c r="M3105" s="4">
        <v>1198</v>
      </c>
      <c r="Q3105" s="1" t="s">
        <v>42</v>
      </c>
      <c r="S3105" s="1" t="s">
        <v>42</v>
      </c>
      <c r="T3105" s="1" t="s">
        <v>203</v>
      </c>
      <c r="AA3105" s="1">
        <v>2673000</v>
      </c>
      <c r="AB3105" s="1" t="s">
        <v>2490</v>
      </c>
      <c r="AC3105" s="5">
        <v>44022</v>
      </c>
      <c r="AF3105" s="1">
        <v>10069</v>
      </c>
      <c r="AJ3105" s="1">
        <v>2019</v>
      </c>
      <c r="AL3105" s="1">
        <v>329</v>
      </c>
    </row>
    <row r="3106" spans="1:38" x14ac:dyDescent="0.2">
      <c r="A3106" s="2" t="str">
        <f>HYPERLINK("https://www.compass.com/listing/25-park-row-unit-10d-manhattan-ny-10038/562927755262601833/","25 Park Row, Unit 10D")</f>
        <v>25 Park Row, Unit 10D</v>
      </c>
      <c r="B3106" s="2" t="str">
        <f t="shared" ref="B3106:B3107" si="465">HYPERLINK("https://www.compass.com/building/25-park-row-manhattan-ny-10038/292920743539264837/","25 Park Row")</f>
        <v>25 Park Row</v>
      </c>
      <c r="C3106" s="1" t="s">
        <v>155</v>
      </c>
      <c r="D3106" s="1" t="s">
        <v>41</v>
      </c>
      <c r="E3106" s="3">
        <v>1755000</v>
      </c>
      <c r="F3106" s="1">
        <v>1918.0327868852401</v>
      </c>
      <c r="G3106" s="1">
        <v>3</v>
      </c>
      <c r="H3106" s="1">
        <v>1</v>
      </c>
      <c r="I3106" s="1">
        <v>2</v>
      </c>
      <c r="J3106" s="1">
        <v>1.5</v>
      </c>
      <c r="K3106" s="1">
        <v>1</v>
      </c>
      <c r="L3106" s="1">
        <v>1</v>
      </c>
      <c r="M3106" s="1">
        <v>915</v>
      </c>
      <c r="N3106" s="1">
        <v>1121.6500000000001</v>
      </c>
      <c r="O3106" s="1">
        <v>2243.4499999999998</v>
      </c>
      <c r="P3106" s="1">
        <v>1121.8333333333301</v>
      </c>
      <c r="Q3106" s="1" t="s">
        <v>42</v>
      </c>
      <c r="S3106" s="1" t="s">
        <v>42</v>
      </c>
      <c r="T3106" s="1" t="s">
        <v>203</v>
      </c>
      <c r="U3106" s="1">
        <v>436</v>
      </c>
      <c r="V3106" s="5">
        <v>44029</v>
      </c>
      <c r="W3106" s="5">
        <v>43494</v>
      </c>
      <c r="X3106" s="1">
        <v>1755000</v>
      </c>
      <c r="Y3106" s="1">
        <v>1755000</v>
      </c>
      <c r="AA3106" s="1">
        <v>1755000</v>
      </c>
      <c r="AB3106" s="1" t="s">
        <v>2491</v>
      </c>
      <c r="AC3106" s="5">
        <v>44025</v>
      </c>
      <c r="AF3106" s="1">
        <v>10038</v>
      </c>
      <c r="AI3106" s="1" t="s">
        <v>181</v>
      </c>
      <c r="AJ3106" s="1">
        <v>2019</v>
      </c>
      <c r="AK3106" s="1" t="s">
        <v>87</v>
      </c>
      <c r="AL3106" s="1">
        <v>110</v>
      </c>
    </row>
    <row r="3107" spans="1:38" x14ac:dyDescent="0.2">
      <c r="A3107" s="2" t="str">
        <f>HYPERLINK("https://www.compass.com/listing/25-park-row-unit-10e-manhattan-ny-10038/563706052988993153/","25 Park Row, Unit 10E")</f>
        <v>25 Park Row, Unit 10E</v>
      </c>
      <c r="B3107" s="2" t="str">
        <f t="shared" si="465"/>
        <v>25 Park Row</v>
      </c>
      <c r="C3107" s="1" t="s">
        <v>155</v>
      </c>
      <c r="D3107" s="1" t="s">
        <v>41</v>
      </c>
      <c r="E3107" s="3">
        <v>3640000</v>
      </c>
      <c r="F3107" s="1">
        <v>1953.83789586688</v>
      </c>
      <c r="G3107" s="1">
        <v>5</v>
      </c>
      <c r="H3107" s="1">
        <v>3</v>
      </c>
      <c r="I3107" s="1">
        <v>3</v>
      </c>
      <c r="J3107" s="1">
        <v>3</v>
      </c>
      <c r="K3107" s="1">
        <v>3</v>
      </c>
      <c r="M3107" s="4">
        <v>1863</v>
      </c>
      <c r="N3107" s="1">
        <v>2283.75</v>
      </c>
      <c r="O3107" s="1">
        <v>4567.8</v>
      </c>
      <c r="P3107" s="1">
        <v>2284.0833333333298</v>
      </c>
      <c r="Q3107" s="1" t="s">
        <v>42</v>
      </c>
      <c r="S3107" s="1" t="s">
        <v>42</v>
      </c>
      <c r="T3107" s="1" t="s">
        <v>203</v>
      </c>
      <c r="U3107" s="1">
        <v>416</v>
      </c>
      <c r="V3107" s="5">
        <v>44030</v>
      </c>
      <c r="W3107" s="5">
        <v>43518</v>
      </c>
      <c r="X3107" s="1">
        <v>3640000</v>
      </c>
      <c r="Y3107" s="1">
        <v>3640000</v>
      </c>
      <c r="AA3107" s="1">
        <v>3640000</v>
      </c>
      <c r="AB3107" s="1" t="s">
        <v>2492</v>
      </c>
      <c r="AC3107" s="5">
        <v>44029</v>
      </c>
      <c r="AF3107" s="1">
        <v>10038</v>
      </c>
      <c r="AI3107" s="1" t="s">
        <v>181</v>
      </c>
      <c r="AJ3107" s="1">
        <v>2019</v>
      </c>
      <c r="AK3107" s="1" t="s">
        <v>87</v>
      </c>
      <c r="AL3107" s="1">
        <v>110</v>
      </c>
    </row>
    <row r="3108" spans="1:38" x14ac:dyDescent="0.2">
      <c r="A3108" s="2" t="str">
        <f>HYPERLINK("https://www.compass.com/listing/400-west-61st-street-unit-20n-manhattan-ny-10069/567115874870600057/","400 W 61st St, Unit 20N")</f>
        <v>400 W 61st St, Unit 20N</v>
      </c>
      <c r="B3108" s="2" t="str">
        <f>HYPERLINK("https://www.compass.com/building/2-waterline-square-manhattan-ny/405244161814084533/","2 Waterline Square")</f>
        <v>2 Waterline Square</v>
      </c>
      <c r="C3108" s="1" t="s">
        <v>47</v>
      </c>
      <c r="D3108" s="1" t="s">
        <v>41</v>
      </c>
      <c r="E3108" s="3">
        <v>2851100</v>
      </c>
      <c r="F3108" s="1">
        <v>2201.6216216216199</v>
      </c>
      <c r="M3108" s="4">
        <v>1295</v>
      </c>
      <c r="Q3108" s="1" t="s">
        <v>42</v>
      </c>
      <c r="S3108" s="1" t="s">
        <v>42</v>
      </c>
      <c r="T3108" s="1" t="s">
        <v>203</v>
      </c>
      <c r="AA3108" s="1">
        <v>2851100</v>
      </c>
      <c r="AB3108" s="1" t="s">
        <v>2493</v>
      </c>
      <c r="AC3108" s="5">
        <v>44011</v>
      </c>
      <c r="AF3108" s="1">
        <v>10069</v>
      </c>
      <c r="AJ3108" s="1">
        <v>2019</v>
      </c>
      <c r="AL3108" s="1">
        <v>329</v>
      </c>
    </row>
    <row r="3109" spans="1:38" x14ac:dyDescent="0.2">
      <c r="A3109" s="2" t="str">
        <f>HYPERLINK("https://www.compass.com/listing/139-west-126th-street-unit-5b-manhattan-ny-10027/567839843131079785/","139 W 126th St, Unit 5B")</f>
        <v>139 W 126th St, Unit 5B</v>
      </c>
      <c r="B3109" s="2" t="str">
        <f>HYPERLINK("https://www.compass.com/building/139-w-126th-st-manhattan-ny-10027/281978594853484453/","139 W 126th St")</f>
        <v>139 W 126th St</v>
      </c>
      <c r="C3109" s="1" t="s">
        <v>145</v>
      </c>
      <c r="D3109" s="1" t="s">
        <v>41</v>
      </c>
      <c r="E3109" s="3">
        <v>732122</v>
      </c>
      <c r="F3109" s="1">
        <v>1142.15561622464</v>
      </c>
      <c r="M3109" s="1">
        <v>641</v>
      </c>
      <c r="Q3109" s="1" t="s">
        <v>42</v>
      </c>
      <c r="S3109" s="1" t="s">
        <v>42</v>
      </c>
      <c r="T3109" s="1" t="s">
        <v>203</v>
      </c>
      <c r="AA3109" s="1">
        <v>732121.75</v>
      </c>
      <c r="AB3109" s="1" t="s">
        <v>2494</v>
      </c>
      <c r="AC3109" s="5">
        <v>42731</v>
      </c>
      <c r="AF3109" s="1">
        <v>10027</v>
      </c>
      <c r="AI3109" s="1" t="s">
        <v>52</v>
      </c>
      <c r="AJ3109" s="1">
        <v>1910</v>
      </c>
      <c r="AL3109" s="1">
        <v>4</v>
      </c>
    </row>
    <row r="3110" spans="1:38" x14ac:dyDescent="0.2">
      <c r="A3110" s="2" t="str">
        <f>HYPERLINK("https://www.compass.com/listing/175-west-95th-street-unit-11d-manhattan-ny-10025/568578484577118425/","175 W 95th St, Unit 11D")</f>
        <v>175 W 95th St, Unit 11D</v>
      </c>
      <c r="B3110" s="2" t="str">
        <f>HYPERLINK("https://www.compass.com/building/175-w-95th-manhattan-ny/292876785429866517/","175 W 95th")</f>
        <v>175 W 95th</v>
      </c>
      <c r="C3110" s="1" t="s">
        <v>47</v>
      </c>
      <c r="D3110" s="1" t="s">
        <v>41</v>
      </c>
      <c r="E3110" s="3">
        <v>1140000</v>
      </c>
      <c r="F3110" s="1">
        <v>1185.03118503118</v>
      </c>
      <c r="M3110" s="1">
        <v>962</v>
      </c>
      <c r="Q3110" s="1" t="s">
        <v>42</v>
      </c>
      <c r="S3110" s="1" t="s">
        <v>42</v>
      </c>
      <c r="T3110" s="1" t="s">
        <v>203</v>
      </c>
      <c r="AA3110" s="1">
        <v>1140000</v>
      </c>
      <c r="AB3110" s="1" t="s">
        <v>2495</v>
      </c>
      <c r="AC3110" s="5">
        <v>44032</v>
      </c>
      <c r="AF3110" s="1">
        <v>10025</v>
      </c>
      <c r="AI3110" s="1" t="s">
        <v>52</v>
      </c>
      <c r="AJ3110" s="1">
        <v>1971</v>
      </c>
      <c r="AK3110" s="1" t="s">
        <v>50</v>
      </c>
      <c r="AL3110" s="1">
        <v>226</v>
      </c>
    </row>
    <row r="3111" spans="1:38" x14ac:dyDescent="0.2">
      <c r="A3111" s="2" t="str">
        <f>HYPERLINK("https://www.compass.com/listing/400-west-61st-street-unit-20k-manhattan-ny-10069/572190852032993361/","400 W 61st St, Unit 20K")</f>
        <v>400 W 61st St, Unit 20K</v>
      </c>
      <c r="B3111" s="2" t="str">
        <f t="shared" ref="B3111:B3113" si="466">HYPERLINK("https://www.compass.com/building/2-waterline-square-manhattan-ny/405244161814084533/","2 Waterline Square")</f>
        <v>2 Waterline Square</v>
      </c>
      <c r="C3111" s="1" t="s">
        <v>47</v>
      </c>
      <c r="D3111" s="1" t="s">
        <v>41</v>
      </c>
      <c r="E3111" s="3">
        <v>1934675</v>
      </c>
      <c r="F3111" s="1">
        <v>2359.35975609756</v>
      </c>
      <c r="M3111" s="1">
        <v>820</v>
      </c>
      <c r="Q3111" s="1" t="s">
        <v>42</v>
      </c>
      <c r="S3111" s="1" t="s">
        <v>42</v>
      </c>
      <c r="T3111" s="1" t="s">
        <v>203</v>
      </c>
      <c r="AA3111" s="1">
        <v>1934675</v>
      </c>
      <c r="AB3111" s="1" t="s">
        <v>2496</v>
      </c>
      <c r="AC3111" s="5">
        <v>44032</v>
      </c>
      <c r="AF3111" s="1">
        <v>10069</v>
      </c>
      <c r="AJ3111" s="1">
        <v>2019</v>
      </c>
      <c r="AL3111" s="1">
        <v>329</v>
      </c>
    </row>
    <row r="3112" spans="1:38" x14ac:dyDescent="0.2">
      <c r="A3112" s="2" t="str">
        <f>HYPERLINK("https://www.compass.com/listing/400-west-61st-street-unit-26j-manhattan-ny-10069/572190882357812641/","400 W 61st St, Unit 26J")</f>
        <v>400 W 61st St, Unit 26J</v>
      </c>
      <c r="B3112" s="2" t="str">
        <f t="shared" si="466"/>
        <v>2 Waterline Square</v>
      </c>
      <c r="C3112" s="1" t="s">
        <v>47</v>
      </c>
      <c r="D3112" s="1" t="s">
        <v>41</v>
      </c>
      <c r="E3112" s="3">
        <v>3670791</v>
      </c>
      <c r="F3112" s="1">
        <v>2654.2236080983298</v>
      </c>
      <c r="M3112" s="4">
        <v>1383</v>
      </c>
      <c r="Q3112" s="1" t="s">
        <v>42</v>
      </c>
      <c r="S3112" s="1" t="s">
        <v>42</v>
      </c>
      <c r="T3112" s="1" t="s">
        <v>203</v>
      </c>
      <c r="AA3112" s="1">
        <v>3670791.25</v>
      </c>
      <c r="AB3112" s="1" t="s">
        <v>2497</v>
      </c>
      <c r="AC3112" s="5">
        <v>44013</v>
      </c>
      <c r="AF3112" s="1">
        <v>10069</v>
      </c>
      <c r="AJ3112" s="1">
        <v>2019</v>
      </c>
      <c r="AL3112" s="1">
        <v>329</v>
      </c>
    </row>
    <row r="3113" spans="1:38" x14ac:dyDescent="0.2">
      <c r="A3113" s="2" t="str">
        <f>HYPERLINK("https://www.compass.com/listing/400-west-61st-street-unit-28h-manhattan-ny-10069/572927052351924089/","400 W 61st St, Unit 28H")</f>
        <v>400 W 61st St, Unit 28H</v>
      </c>
      <c r="B3113" s="2" t="str">
        <f t="shared" si="466"/>
        <v>2 Waterline Square</v>
      </c>
      <c r="C3113" s="1" t="s">
        <v>47</v>
      </c>
      <c r="D3113" s="1" t="s">
        <v>41</v>
      </c>
      <c r="E3113" s="3">
        <v>3118514</v>
      </c>
      <c r="F3113" s="1">
        <v>2558.2556439704599</v>
      </c>
      <c r="M3113" s="4">
        <v>1219</v>
      </c>
      <c r="Q3113" s="1" t="s">
        <v>42</v>
      </c>
      <c r="S3113" s="1" t="s">
        <v>42</v>
      </c>
      <c r="T3113" s="1" t="s">
        <v>203</v>
      </c>
      <c r="AA3113" s="1">
        <v>3118513.63</v>
      </c>
      <c r="AB3113" s="1" t="s">
        <v>2498</v>
      </c>
      <c r="AC3113" s="5">
        <v>44022</v>
      </c>
      <c r="AF3113" s="1">
        <v>10069</v>
      </c>
      <c r="AJ3113" s="1">
        <v>2019</v>
      </c>
      <c r="AL3113" s="1">
        <v>329</v>
      </c>
    </row>
    <row r="3114" spans="1:38" x14ac:dyDescent="0.2">
      <c r="A3114" s="2" t="str">
        <f>HYPERLINK("https://www.compass.com/listing/215-west-122nd-street-unit-1-manhattan-ny-10027/573650058724416945/","215 W 122nd St, Unit 1")</f>
        <v>215 W 122nd St, Unit 1</v>
      </c>
      <c r="B3114" s="2" t="str">
        <f>HYPERLINK("https://www.compass.com/building/215-w-122nd-st-manhattan-ny-10027/281980069470110005/","215 W 122nd St")</f>
        <v>215 W 122nd St</v>
      </c>
      <c r="C3114" s="1" t="s">
        <v>131</v>
      </c>
      <c r="D3114" s="1" t="s">
        <v>41</v>
      </c>
      <c r="E3114" s="3">
        <v>1210000</v>
      </c>
      <c r="F3114" s="1">
        <v>768.74205844980895</v>
      </c>
      <c r="M3114" s="4">
        <v>1574</v>
      </c>
      <c r="Q3114" s="1" t="s">
        <v>42</v>
      </c>
      <c r="S3114" s="1" t="s">
        <v>42</v>
      </c>
      <c r="T3114" s="1" t="s">
        <v>203</v>
      </c>
      <c r="AA3114" s="1">
        <v>1210000</v>
      </c>
      <c r="AB3114" s="1" t="s">
        <v>2499</v>
      </c>
      <c r="AC3114" s="5">
        <v>44035</v>
      </c>
      <c r="AF3114" s="1">
        <v>10027</v>
      </c>
      <c r="AI3114" s="1" t="s">
        <v>73</v>
      </c>
      <c r="AJ3114" s="1">
        <v>2018</v>
      </c>
      <c r="AL3114" s="1">
        <v>6</v>
      </c>
    </row>
    <row r="3115" spans="1:38" x14ac:dyDescent="0.2">
      <c r="A3115" s="2" t="str">
        <f>HYPERLINK("https://www.compass.com/listing/400-west-61st-street-unit-25h-manhattan-ny-10069/574371461077569753/","400 W 61st St, Unit 25H")</f>
        <v>400 W 61st St, Unit 25H</v>
      </c>
      <c r="B3115" s="2" t="str">
        <f t="shared" ref="B3115:B3116" si="467">HYPERLINK("https://www.compass.com/building/2-waterline-square-manhattan-ny/405244161814084533/","2 Waterline Square")</f>
        <v>2 Waterline Square</v>
      </c>
      <c r="C3115" s="1" t="s">
        <v>47</v>
      </c>
      <c r="D3115" s="1" t="s">
        <v>41</v>
      </c>
      <c r="E3115" s="3">
        <v>3003838</v>
      </c>
      <c r="F3115" s="1">
        <v>2484.5636889991702</v>
      </c>
      <c r="M3115" s="4">
        <v>1209</v>
      </c>
      <c r="Q3115" s="1" t="s">
        <v>42</v>
      </c>
      <c r="S3115" s="1" t="s">
        <v>42</v>
      </c>
      <c r="T3115" s="1" t="s">
        <v>203</v>
      </c>
      <c r="AA3115" s="1">
        <v>3003837.5</v>
      </c>
      <c r="AB3115" s="1" t="s">
        <v>2500</v>
      </c>
      <c r="AC3115" s="5">
        <v>44014</v>
      </c>
      <c r="AF3115" s="1">
        <v>10069</v>
      </c>
      <c r="AJ3115" s="1">
        <v>2019</v>
      </c>
      <c r="AL3115" s="1">
        <v>329</v>
      </c>
    </row>
    <row r="3116" spans="1:38" x14ac:dyDescent="0.2">
      <c r="A3116" s="2" t="str">
        <f>HYPERLINK("https://www.compass.com/listing/400-west-61st-street-unit-22n-manhattan-ny-10069/576766777768426473/","400 W 61st St, Unit 22N")</f>
        <v>400 W 61st St, Unit 22N</v>
      </c>
      <c r="B3116" s="2" t="str">
        <f t="shared" si="467"/>
        <v>2 Waterline Square</v>
      </c>
      <c r="C3116" s="1" t="s">
        <v>47</v>
      </c>
      <c r="D3116" s="1" t="s">
        <v>41</v>
      </c>
      <c r="E3116" s="3">
        <v>3151484</v>
      </c>
      <c r="F3116" s="1">
        <v>2270.5214337175698</v>
      </c>
      <c r="M3116" s="4">
        <v>1388</v>
      </c>
      <c r="Q3116" s="1" t="s">
        <v>42</v>
      </c>
      <c r="S3116" s="1" t="s">
        <v>42</v>
      </c>
      <c r="T3116" s="1" t="s">
        <v>203</v>
      </c>
      <c r="AA3116" s="1">
        <v>3151483.75</v>
      </c>
      <c r="AB3116" s="1" t="s">
        <v>2501</v>
      </c>
      <c r="AC3116" s="5">
        <v>44036</v>
      </c>
      <c r="AF3116" s="1">
        <v>10069</v>
      </c>
      <c r="AJ3116" s="1">
        <v>2019</v>
      </c>
      <c r="AL3116" s="1">
        <v>329</v>
      </c>
    </row>
    <row r="3117" spans="1:38" x14ac:dyDescent="0.2">
      <c r="A3117" s="2" t="str">
        <f>HYPERLINK("https://www.compass.com/listing/25-park-row-unit-19b-manhattan-ny-10038/577259692525664777/","25 Park Row, Unit 19B")</f>
        <v>25 Park Row, Unit 19B</v>
      </c>
      <c r="B3117" s="2" t="str">
        <f>HYPERLINK("https://www.compass.com/building/25-park-row-manhattan-ny-10038/292920743539264837/","25 Park Row")</f>
        <v>25 Park Row</v>
      </c>
      <c r="C3117" s="1" t="s">
        <v>155</v>
      </c>
      <c r="D3117" s="1" t="s">
        <v>41</v>
      </c>
      <c r="E3117" s="3">
        <v>2280000</v>
      </c>
      <c r="F3117" s="1">
        <v>2055.9062218214599</v>
      </c>
      <c r="M3117" s="4">
        <v>1109</v>
      </c>
      <c r="Q3117" s="1" t="s">
        <v>42</v>
      </c>
      <c r="S3117" s="1" t="s">
        <v>42</v>
      </c>
      <c r="T3117" s="1" t="s">
        <v>203</v>
      </c>
      <c r="AA3117" s="1">
        <v>2280000</v>
      </c>
      <c r="AB3117" s="1" t="s">
        <v>2502</v>
      </c>
      <c r="AC3117" s="5">
        <v>44042</v>
      </c>
      <c r="AF3117" s="1">
        <v>10038</v>
      </c>
      <c r="AI3117" s="1" t="s">
        <v>58</v>
      </c>
      <c r="AJ3117" s="1">
        <v>2019</v>
      </c>
      <c r="AK3117" s="1" t="s">
        <v>55</v>
      </c>
      <c r="AL3117" s="1">
        <v>110</v>
      </c>
    </row>
    <row r="3118" spans="1:38" x14ac:dyDescent="0.2">
      <c r="A3118" s="2" t="str">
        <f>HYPERLINK("https://www.compass.com/listing/400-west-61st-street-unit-32e-manhattan-ny-10069/577265268534219761/","400 W 61st St, Unit 32E")</f>
        <v>400 W 61st St, Unit 32E</v>
      </c>
      <c r="B3118" s="2" t="str">
        <f t="shared" ref="B3118:B3124" si="468">HYPERLINK("https://www.compass.com/building/2-waterline-square-manhattan-ny/405244161814084533/","2 Waterline Square")</f>
        <v>2 Waterline Square</v>
      </c>
      <c r="C3118" s="1" t="s">
        <v>47</v>
      </c>
      <c r="D3118" s="1" t="s">
        <v>41</v>
      </c>
      <c r="E3118" s="3">
        <v>2838800</v>
      </c>
      <c r="F3118" s="1">
        <v>2434.6483704974198</v>
      </c>
      <c r="M3118" s="4">
        <v>1166</v>
      </c>
      <c r="Q3118" s="1" t="s">
        <v>42</v>
      </c>
      <c r="S3118" s="1" t="s">
        <v>42</v>
      </c>
      <c r="T3118" s="1" t="s">
        <v>203</v>
      </c>
      <c r="AA3118" s="1">
        <v>2838800</v>
      </c>
      <c r="AB3118" s="1" t="s">
        <v>2503</v>
      </c>
      <c r="AC3118" s="5">
        <v>44039</v>
      </c>
      <c r="AF3118" s="1">
        <v>10069</v>
      </c>
      <c r="AJ3118" s="1">
        <v>2019</v>
      </c>
      <c r="AL3118" s="1">
        <v>329</v>
      </c>
    </row>
    <row r="3119" spans="1:38" x14ac:dyDescent="0.2">
      <c r="A3119" s="2" t="str">
        <f>HYPERLINK("https://www.compass.com/listing/400-west-61st-street-unit-20a-manhattan-ny-10069/577989786659504921/","400 W 61st St, Unit 20A")</f>
        <v>400 W 61st St, Unit 20A</v>
      </c>
      <c r="B3119" s="2" t="str">
        <f t="shared" si="468"/>
        <v>2 Waterline Square</v>
      </c>
      <c r="C3119" s="1" t="s">
        <v>47</v>
      </c>
      <c r="D3119" s="1" t="s">
        <v>41</v>
      </c>
      <c r="E3119" s="3">
        <v>4086956</v>
      </c>
      <c r="F3119" s="1">
        <v>2748.45746469401</v>
      </c>
      <c r="M3119" s="4">
        <v>1487</v>
      </c>
      <c r="Q3119" s="1" t="s">
        <v>42</v>
      </c>
      <c r="S3119" s="1" t="s">
        <v>42</v>
      </c>
      <c r="T3119" s="1" t="s">
        <v>203</v>
      </c>
      <c r="AA3119" s="1">
        <v>4086956.25</v>
      </c>
      <c r="AB3119" s="1" t="s">
        <v>2504</v>
      </c>
      <c r="AC3119" s="5">
        <v>44035</v>
      </c>
      <c r="AF3119" s="1">
        <v>10069</v>
      </c>
      <c r="AJ3119" s="1">
        <v>2019</v>
      </c>
      <c r="AL3119" s="1">
        <v>329</v>
      </c>
    </row>
    <row r="3120" spans="1:38" x14ac:dyDescent="0.2">
      <c r="A3120" s="2" t="str">
        <f>HYPERLINK("https://www.compass.com/listing/400-west-61st-street-unit-35f-manhattan-ny-10069/577989836521583481/","400 W 61st St, Unit 35F")</f>
        <v>400 W 61st St, Unit 35F</v>
      </c>
      <c r="B3120" s="2" t="str">
        <f t="shared" si="468"/>
        <v>2 Waterline Square</v>
      </c>
      <c r="C3120" s="1" t="s">
        <v>47</v>
      </c>
      <c r="D3120" s="1" t="s">
        <v>41</v>
      </c>
      <c r="E3120" s="3">
        <v>5319000</v>
      </c>
      <c r="F3120" s="1">
        <v>2506.5975494816198</v>
      </c>
      <c r="M3120" s="4">
        <v>2122</v>
      </c>
      <c r="Q3120" s="1" t="s">
        <v>42</v>
      </c>
      <c r="S3120" s="1" t="s">
        <v>42</v>
      </c>
      <c r="T3120" s="1" t="s">
        <v>203</v>
      </c>
      <c r="AA3120" s="1">
        <v>5319000</v>
      </c>
      <c r="AB3120" s="1" t="s">
        <v>2505</v>
      </c>
      <c r="AC3120" s="5">
        <v>44039</v>
      </c>
      <c r="AF3120" s="1">
        <v>10069</v>
      </c>
      <c r="AJ3120" s="1">
        <v>2019</v>
      </c>
      <c r="AL3120" s="1">
        <v>329</v>
      </c>
    </row>
    <row r="3121" spans="1:38" x14ac:dyDescent="0.2">
      <c r="A3121" s="2" t="str">
        <f>HYPERLINK("https://www.compass.com/listing/400-west-61st-street-unit-20h-manhattan-ny-10069/582860109435388873/","400 W 61st St, Unit 20H")</f>
        <v>400 W 61st St, Unit 20H</v>
      </c>
      <c r="B3121" s="2" t="str">
        <f t="shared" si="468"/>
        <v>2 Waterline Square</v>
      </c>
      <c r="C3121" s="1" t="s">
        <v>47</v>
      </c>
      <c r="D3121" s="1" t="s">
        <v>41</v>
      </c>
      <c r="E3121" s="3">
        <v>1642500</v>
      </c>
      <c r="F3121" s="1">
        <v>2003.0487804878001</v>
      </c>
      <c r="M3121" s="1">
        <v>820</v>
      </c>
      <c r="Q3121" s="1" t="s">
        <v>42</v>
      </c>
      <c r="S3121" s="1" t="s">
        <v>42</v>
      </c>
      <c r="T3121" s="1" t="s">
        <v>203</v>
      </c>
      <c r="AA3121" s="1">
        <v>1642500</v>
      </c>
      <c r="AB3121" s="1" t="s">
        <v>2506</v>
      </c>
      <c r="AC3121" s="5">
        <v>44028</v>
      </c>
      <c r="AF3121" s="1">
        <v>10069</v>
      </c>
      <c r="AJ3121" s="1">
        <v>2019</v>
      </c>
      <c r="AL3121" s="1">
        <v>329</v>
      </c>
    </row>
    <row r="3122" spans="1:38" x14ac:dyDescent="0.2">
      <c r="A3122" s="2" t="str">
        <f>HYPERLINK("https://www.compass.com/listing/400-west-61st-street-unit-22e-manhattan-ny-10069/582860124090630633/","400 W 61st St, Unit 22E")</f>
        <v>400 W 61st St, Unit 22E</v>
      </c>
      <c r="B3122" s="2" t="str">
        <f t="shared" si="468"/>
        <v>2 Waterline Square</v>
      </c>
      <c r="C3122" s="1" t="s">
        <v>47</v>
      </c>
      <c r="D3122" s="1" t="s">
        <v>41</v>
      </c>
      <c r="E3122" s="3">
        <v>3166758</v>
      </c>
      <c r="F3122" s="1">
        <v>2273.3363244795401</v>
      </c>
      <c r="M3122" s="4">
        <v>1393</v>
      </c>
      <c r="Q3122" s="1" t="s">
        <v>42</v>
      </c>
      <c r="S3122" s="1" t="s">
        <v>42</v>
      </c>
      <c r="T3122" s="1" t="s">
        <v>203</v>
      </c>
      <c r="AA3122" s="1">
        <v>3166757.5</v>
      </c>
      <c r="AB3122" s="1" t="s">
        <v>2507</v>
      </c>
      <c r="AC3122" s="5">
        <v>44043</v>
      </c>
      <c r="AF3122" s="1">
        <v>10069</v>
      </c>
      <c r="AJ3122" s="1">
        <v>2019</v>
      </c>
      <c r="AL3122" s="1">
        <v>329</v>
      </c>
    </row>
    <row r="3123" spans="1:38" x14ac:dyDescent="0.2">
      <c r="A3123" s="2" t="str">
        <f>HYPERLINK("https://www.compass.com/listing/400-west-61st-street-unit-26h-manhattan-ny-10069/583786471394716489/","400 W 61st St, Unit 26H")</f>
        <v>400 W 61st St, Unit 26H</v>
      </c>
      <c r="B3123" s="2" t="str">
        <f t="shared" si="468"/>
        <v>2 Waterline Square</v>
      </c>
      <c r="C3123" s="1" t="s">
        <v>47</v>
      </c>
      <c r="D3123" s="1" t="s">
        <v>41</v>
      </c>
      <c r="E3123" s="3">
        <v>3044568</v>
      </c>
      <c r="F3123" s="1">
        <v>2497.5943396226398</v>
      </c>
      <c r="M3123" s="4">
        <v>1219</v>
      </c>
      <c r="Q3123" s="1" t="s">
        <v>42</v>
      </c>
      <c r="S3123" s="1" t="s">
        <v>42</v>
      </c>
      <c r="T3123" s="1" t="s">
        <v>203</v>
      </c>
      <c r="AA3123" s="1">
        <v>3044567.5</v>
      </c>
      <c r="AB3123" s="1" t="s">
        <v>2508</v>
      </c>
      <c r="AC3123" s="5">
        <v>44036</v>
      </c>
      <c r="AF3123" s="1">
        <v>10069</v>
      </c>
      <c r="AJ3123" s="1">
        <v>2019</v>
      </c>
      <c r="AL3123" s="1">
        <v>329</v>
      </c>
    </row>
    <row r="3124" spans="1:38" x14ac:dyDescent="0.2">
      <c r="A3124" s="2" t="str">
        <f>HYPERLINK("https://www.compass.com/listing/400-west-61st-street-unit-29f-manhattan-ny-10069/587273318464820337/","400 W 61st St, Unit 29F")</f>
        <v>400 W 61st St, Unit 29F</v>
      </c>
      <c r="B3124" s="2" t="str">
        <f t="shared" si="468"/>
        <v>2 Waterline Square</v>
      </c>
      <c r="C3124" s="1" t="s">
        <v>47</v>
      </c>
      <c r="D3124" s="1" t="s">
        <v>41</v>
      </c>
      <c r="E3124" s="3">
        <v>1767000</v>
      </c>
      <c r="F3124" s="1">
        <v>2280</v>
      </c>
      <c r="M3124" s="1">
        <v>775</v>
      </c>
      <c r="Q3124" s="1" t="s">
        <v>42</v>
      </c>
      <c r="S3124" s="1" t="s">
        <v>42</v>
      </c>
      <c r="T3124" s="1" t="s">
        <v>203</v>
      </c>
      <c r="AA3124" s="1">
        <v>1767000</v>
      </c>
      <c r="AB3124" s="1" t="s">
        <v>2509</v>
      </c>
      <c r="AC3124" s="5">
        <v>44049</v>
      </c>
      <c r="AF3124" s="1">
        <v>10069</v>
      </c>
      <c r="AJ3124" s="1">
        <v>2019</v>
      </c>
      <c r="AL3124" s="1">
        <v>329</v>
      </c>
    </row>
    <row r="3125" spans="1:38" x14ac:dyDescent="0.2">
      <c r="A3125" s="2" t="str">
        <f>HYPERLINK("https://www.compass.com/listing/25-park-row-unit-6d-manhattan-ny-10038/587404586900556097/","25 Park Row, Unit 6D")</f>
        <v>25 Park Row, Unit 6D</v>
      </c>
      <c r="B3125" s="2" t="str">
        <f>HYPERLINK("https://www.compass.com/building/25-park-row-manhattan-ny-10038/292920743539264837/","25 Park Row")</f>
        <v>25 Park Row</v>
      </c>
      <c r="C3125" s="1" t="s">
        <v>155</v>
      </c>
      <c r="D3125" s="1" t="s">
        <v>41</v>
      </c>
      <c r="E3125" s="3">
        <v>1630000</v>
      </c>
      <c r="F3125" s="1">
        <v>1781.4207650273199</v>
      </c>
      <c r="M3125" s="1">
        <v>915</v>
      </c>
      <c r="Q3125" s="1" t="s">
        <v>42</v>
      </c>
      <c r="S3125" s="1" t="s">
        <v>42</v>
      </c>
      <c r="T3125" s="1" t="s">
        <v>203</v>
      </c>
      <c r="AA3125" s="1">
        <v>1630000</v>
      </c>
      <c r="AB3125" s="1" t="s">
        <v>2510</v>
      </c>
      <c r="AC3125" s="5">
        <v>44046</v>
      </c>
      <c r="AF3125" s="1">
        <v>10038</v>
      </c>
      <c r="AI3125" s="1" t="s">
        <v>58</v>
      </c>
      <c r="AJ3125" s="1">
        <v>2019</v>
      </c>
      <c r="AK3125" s="1" t="s">
        <v>55</v>
      </c>
      <c r="AL3125" s="1">
        <v>110</v>
      </c>
    </row>
    <row r="3126" spans="1:38" x14ac:dyDescent="0.2">
      <c r="A3126" s="2" t="str">
        <f>HYPERLINK("https://www.compass.com/listing/30-park-place-unit-39h-manhattan-ny-10007/587404699165174857/","30 Park Pl, Unit 39H")</f>
        <v>30 Park Pl, Unit 39H</v>
      </c>
      <c r="B3126" s="2" t="str">
        <f>HYPERLINK("https://www.compass.com/building/30-park-pl-manhattan-ny-10007/281896912905317605/","30 Park Pl")</f>
        <v>30 Park Pl</v>
      </c>
      <c r="C3126" s="1" t="s">
        <v>40</v>
      </c>
      <c r="D3126" s="1" t="s">
        <v>41</v>
      </c>
      <c r="E3126" s="3">
        <v>1525000</v>
      </c>
      <c r="F3126" s="1">
        <v>2163.12056737588</v>
      </c>
      <c r="M3126" s="1">
        <v>705</v>
      </c>
      <c r="Q3126" s="1" t="s">
        <v>42</v>
      </c>
      <c r="S3126" s="1" t="s">
        <v>42</v>
      </c>
      <c r="T3126" s="1" t="s">
        <v>203</v>
      </c>
      <c r="AA3126" s="1">
        <v>1525000</v>
      </c>
      <c r="AB3126" s="1" t="s">
        <v>2511</v>
      </c>
      <c r="AC3126" s="5">
        <v>44034</v>
      </c>
      <c r="AF3126" s="1">
        <v>10007</v>
      </c>
      <c r="AJ3126" s="1">
        <v>2016</v>
      </c>
      <c r="AK3126" s="1" t="s">
        <v>50</v>
      </c>
      <c r="AL3126" s="1">
        <v>157</v>
      </c>
    </row>
    <row r="3127" spans="1:38" x14ac:dyDescent="0.2">
      <c r="A3127" s="2" t="str">
        <f>HYPERLINK("https://www.compass.com/listing/400-west-61st-street-unit-27c-manhattan-ny-10069/587410127895029841/","400 W 61st St, Unit 27C")</f>
        <v>400 W 61st St, Unit 27C</v>
      </c>
      <c r="B3127" s="2" t="str">
        <f>HYPERLINK("https://www.compass.com/building/2-waterline-square-manhattan-ny/405244161814084533/","2 Waterline Square")</f>
        <v>2 Waterline Square</v>
      </c>
      <c r="C3127" s="1" t="s">
        <v>47</v>
      </c>
      <c r="D3127" s="1" t="s">
        <v>41</v>
      </c>
      <c r="E3127" s="3">
        <v>3375000</v>
      </c>
      <c r="F3127" s="1">
        <v>2322.7804542326198</v>
      </c>
      <c r="M3127" s="4">
        <v>1453</v>
      </c>
      <c r="Q3127" s="1" t="s">
        <v>42</v>
      </c>
      <c r="S3127" s="1" t="s">
        <v>42</v>
      </c>
      <c r="T3127" s="1" t="s">
        <v>203</v>
      </c>
      <c r="AA3127" s="1">
        <v>3375000</v>
      </c>
      <c r="AB3127" s="1" t="s">
        <v>2512</v>
      </c>
      <c r="AC3127" s="5">
        <v>44046</v>
      </c>
      <c r="AF3127" s="1">
        <v>10069</v>
      </c>
      <c r="AJ3127" s="1">
        <v>2019</v>
      </c>
      <c r="AL3127" s="1">
        <v>329</v>
      </c>
    </row>
    <row r="3128" spans="1:38" x14ac:dyDescent="0.2">
      <c r="A3128" s="2" t="str">
        <f>HYPERLINK("https://www.compass.com/listing/245-east-53rd-street-unit-6-manhattan-ny-10022/587411261389092057/","245 E 53rd St, Unit 6")</f>
        <v>245 E 53rd St, Unit 6</v>
      </c>
      <c r="B3128" s="2" t="str">
        <f>HYPERLINK("https://www.compass.com/building/loft53-manhattan-ny/281953429650215077/","Loft53")</f>
        <v>Loft53</v>
      </c>
      <c r="C3128" s="1" t="s">
        <v>171</v>
      </c>
      <c r="D3128" s="1" t="s">
        <v>41</v>
      </c>
      <c r="E3128" s="3">
        <v>1995000</v>
      </c>
      <c r="Q3128" s="1" t="s">
        <v>42</v>
      </c>
      <c r="S3128" s="1" t="s">
        <v>42</v>
      </c>
      <c r="T3128" s="1" t="s">
        <v>203</v>
      </c>
      <c r="AA3128" s="1">
        <v>1995000</v>
      </c>
      <c r="AB3128" s="1" t="s">
        <v>2513</v>
      </c>
      <c r="AC3128" s="5">
        <v>44048</v>
      </c>
      <c r="AF3128" s="1">
        <v>10022</v>
      </c>
      <c r="AI3128" s="1" t="s">
        <v>73</v>
      </c>
      <c r="AJ3128" s="1">
        <v>2019</v>
      </c>
      <c r="AL3128" s="1">
        <v>6</v>
      </c>
    </row>
    <row r="3129" spans="1:38" x14ac:dyDescent="0.2">
      <c r="A3129" s="2" t="str">
        <f>HYPERLINK("https://www.compass.com/listing/25-park-row-unit-22b-manhattan-ny-10038/588855596060077969/","25 Park Row, Unit 22B")</f>
        <v>25 Park Row, Unit 22B</v>
      </c>
      <c r="B3129" s="2" t="str">
        <f t="shared" ref="B3129:B3130" si="469">HYPERLINK("https://www.compass.com/building/25-park-row-manhattan-ny-10038/292920743539264837/","25 Park Row")</f>
        <v>25 Park Row</v>
      </c>
      <c r="C3129" s="1" t="s">
        <v>155</v>
      </c>
      <c r="D3129" s="1" t="s">
        <v>41</v>
      </c>
      <c r="E3129" s="3">
        <v>2230000</v>
      </c>
      <c r="F3129" s="1">
        <v>2010.8205590622099</v>
      </c>
      <c r="M3129" s="4">
        <v>1109</v>
      </c>
      <c r="Q3129" s="1" t="s">
        <v>42</v>
      </c>
      <c r="S3129" s="1" t="s">
        <v>42</v>
      </c>
      <c r="T3129" s="1" t="s">
        <v>203</v>
      </c>
      <c r="AA3129" s="1">
        <v>2230000</v>
      </c>
      <c r="AB3129" s="1" t="s">
        <v>2514</v>
      </c>
      <c r="AC3129" s="5">
        <v>44047</v>
      </c>
      <c r="AF3129" s="1">
        <v>10038</v>
      </c>
      <c r="AI3129" s="1" t="s">
        <v>58</v>
      </c>
      <c r="AJ3129" s="1">
        <v>2019</v>
      </c>
      <c r="AK3129" s="1" t="s">
        <v>55</v>
      </c>
      <c r="AL3129" s="1">
        <v>110</v>
      </c>
    </row>
    <row r="3130" spans="1:38" x14ac:dyDescent="0.2">
      <c r="A3130" s="2" t="str">
        <f>HYPERLINK("https://www.compass.com/listing/25-park-row-unit-21b-manhattan-ny-10038/591755013851166569/","25 Park Row, Unit 21B")</f>
        <v>25 Park Row, Unit 21B</v>
      </c>
      <c r="B3130" s="2" t="str">
        <f t="shared" si="469"/>
        <v>25 Park Row</v>
      </c>
      <c r="C3130" s="1" t="s">
        <v>155</v>
      </c>
      <c r="D3130" s="1" t="s">
        <v>41</v>
      </c>
      <c r="E3130" s="3">
        <v>2255000</v>
      </c>
      <c r="F3130" s="1">
        <v>2033.36339044183</v>
      </c>
      <c r="M3130" s="4">
        <v>1109</v>
      </c>
      <c r="Q3130" s="1" t="s">
        <v>42</v>
      </c>
      <c r="S3130" s="1" t="s">
        <v>42</v>
      </c>
      <c r="T3130" s="1" t="s">
        <v>203</v>
      </c>
      <c r="AA3130" s="1">
        <v>2255000</v>
      </c>
      <c r="AB3130" s="1" t="s">
        <v>2515</v>
      </c>
      <c r="AC3130" s="5">
        <v>44041</v>
      </c>
      <c r="AF3130" s="1">
        <v>10038</v>
      </c>
      <c r="AI3130" s="1" t="s">
        <v>58</v>
      </c>
      <c r="AJ3130" s="1">
        <v>2019</v>
      </c>
      <c r="AK3130" s="1" t="s">
        <v>55</v>
      </c>
      <c r="AL3130" s="1">
        <v>110</v>
      </c>
    </row>
    <row r="3131" spans="1:38" x14ac:dyDescent="0.2">
      <c r="A3131" s="2" t="str">
        <f>HYPERLINK("https://www.compass.com/listing/400-west-61st-street-unit-28e-manhattan-ny-10069/593936959175566681/","400 W 61st St, Unit 28E")</f>
        <v>400 W 61st St, Unit 28E</v>
      </c>
      <c r="B3131" s="2" t="str">
        <f>HYPERLINK("https://www.compass.com/building/2-waterline-square-manhattan-ny/405244161814084533/","2 Waterline Square")</f>
        <v>2 Waterline Square</v>
      </c>
      <c r="C3131" s="1" t="s">
        <v>47</v>
      </c>
      <c r="D3131" s="1" t="s">
        <v>41</v>
      </c>
      <c r="E3131" s="3">
        <v>2912195</v>
      </c>
      <c r="F3131" s="1">
        <v>2430.8806343906499</v>
      </c>
      <c r="M3131" s="4">
        <v>1198</v>
      </c>
      <c r="Q3131" s="1" t="s">
        <v>42</v>
      </c>
      <c r="S3131" s="1" t="s">
        <v>42</v>
      </c>
      <c r="T3131" s="1" t="s">
        <v>203</v>
      </c>
      <c r="AA3131" s="1">
        <v>2912195</v>
      </c>
      <c r="AB3131" s="1" t="s">
        <v>2516</v>
      </c>
      <c r="AC3131" s="5">
        <v>44067</v>
      </c>
      <c r="AF3131" s="1">
        <v>10069</v>
      </c>
      <c r="AJ3131" s="1">
        <v>2019</v>
      </c>
      <c r="AL3131" s="1">
        <v>329</v>
      </c>
    </row>
    <row r="3132" spans="1:38" x14ac:dyDescent="0.2">
      <c r="A3132" s="2" t="str">
        <f>HYPERLINK("https://www.compass.com/listing/25-park-row-unit-9d-manhattan-ny-10038/604075934372793553/","25 Park Row, Unit 9D")</f>
        <v>25 Park Row, Unit 9D</v>
      </c>
      <c r="B3132" s="2" t="str">
        <f t="shared" ref="B3132:B3134" si="470">HYPERLINK("https://www.compass.com/building/25-park-row-manhattan-ny-10038/292920743539264837/","25 Park Row")</f>
        <v>25 Park Row</v>
      </c>
      <c r="C3132" s="1" t="s">
        <v>155</v>
      </c>
      <c r="D3132" s="1" t="s">
        <v>41</v>
      </c>
      <c r="E3132" s="3">
        <v>1651720</v>
      </c>
      <c r="F3132" s="1">
        <v>1805.1584699453499</v>
      </c>
      <c r="M3132" s="1">
        <v>915</v>
      </c>
      <c r="Q3132" s="1" t="s">
        <v>42</v>
      </c>
      <c r="S3132" s="1" t="s">
        <v>42</v>
      </c>
      <c r="T3132" s="1" t="s">
        <v>203</v>
      </c>
      <c r="AA3132" s="1">
        <v>1651720</v>
      </c>
      <c r="AB3132" s="1" t="s">
        <v>2517</v>
      </c>
      <c r="AC3132" s="5">
        <v>44068</v>
      </c>
      <c r="AF3132" s="1">
        <v>10038</v>
      </c>
      <c r="AI3132" s="1" t="s">
        <v>58</v>
      </c>
      <c r="AJ3132" s="1">
        <v>2019</v>
      </c>
      <c r="AK3132" s="1" t="s">
        <v>55</v>
      </c>
      <c r="AL3132" s="1">
        <v>110</v>
      </c>
    </row>
    <row r="3133" spans="1:38" x14ac:dyDescent="0.2">
      <c r="A3133" s="2" t="str">
        <f>HYPERLINK("https://www.compass.com/listing/25-park-row-unit-32b-manhattan-ny-10038/604803101326723033/","25 Park Row, Unit 32B")</f>
        <v>25 Park Row, Unit 32B</v>
      </c>
      <c r="B3133" s="2" t="str">
        <f t="shared" si="470"/>
        <v>25 Park Row</v>
      </c>
      <c r="C3133" s="1" t="s">
        <v>155</v>
      </c>
      <c r="D3133" s="1" t="s">
        <v>41</v>
      </c>
      <c r="E3133" s="3">
        <v>2260000</v>
      </c>
      <c r="F3133" s="1">
        <v>2023.27663384064</v>
      </c>
      <c r="M3133" s="4">
        <v>1117</v>
      </c>
      <c r="Q3133" s="1" t="s">
        <v>42</v>
      </c>
      <c r="S3133" s="1" t="s">
        <v>42</v>
      </c>
      <c r="T3133" s="1" t="s">
        <v>203</v>
      </c>
      <c r="AA3133" s="1">
        <v>2260000</v>
      </c>
      <c r="AB3133" s="1" t="s">
        <v>2518</v>
      </c>
      <c r="AC3133" s="5">
        <v>44071</v>
      </c>
      <c r="AF3133" s="1">
        <v>10038</v>
      </c>
      <c r="AI3133" s="1" t="s">
        <v>58</v>
      </c>
      <c r="AJ3133" s="1">
        <v>2019</v>
      </c>
      <c r="AK3133" s="1" t="s">
        <v>55</v>
      </c>
      <c r="AL3133" s="1">
        <v>110</v>
      </c>
    </row>
    <row r="3134" spans="1:38" x14ac:dyDescent="0.2">
      <c r="A3134" s="2" t="str">
        <f>HYPERLINK("https://www.compass.com/listing/25-park-row-unit-8d-manhattan-ny-10038/607166288366005073/","25 Park Row, Unit 8D")</f>
        <v>25 Park Row, Unit 8D</v>
      </c>
      <c r="B3134" s="2" t="str">
        <f t="shared" si="470"/>
        <v>25 Park Row</v>
      </c>
      <c r="C3134" s="1" t="s">
        <v>155</v>
      </c>
      <c r="D3134" s="1" t="s">
        <v>41</v>
      </c>
      <c r="E3134" s="3">
        <v>1644250</v>
      </c>
      <c r="F3134" s="1">
        <v>1796.9945355191201</v>
      </c>
      <c r="M3134" s="1">
        <v>915</v>
      </c>
      <c r="Q3134" s="1" t="s">
        <v>42</v>
      </c>
      <c r="S3134" s="1" t="s">
        <v>42</v>
      </c>
      <c r="T3134" s="1" t="s">
        <v>203</v>
      </c>
      <c r="AA3134" s="1">
        <v>1644250</v>
      </c>
      <c r="AB3134" s="1" t="s">
        <v>2519</v>
      </c>
      <c r="AC3134" s="5">
        <v>44071</v>
      </c>
      <c r="AF3134" s="1">
        <v>10038</v>
      </c>
      <c r="AI3134" s="1" t="s">
        <v>58</v>
      </c>
      <c r="AJ3134" s="1">
        <v>2019</v>
      </c>
      <c r="AK3134" s="1" t="s">
        <v>55</v>
      </c>
      <c r="AL3134" s="1">
        <v>110</v>
      </c>
    </row>
    <row r="3135" spans="1:38" x14ac:dyDescent="0.2">
      <c r="A3135" s="2" t="str">
        <f>HYPERLINK("https://www.compass.com/listing/1810-3rd-avenue-unit-6c-manhattan-ny-10029/607183137313084361/","1810 3rd Ave, Unit 6C")</f>
        <v>1810 3rd Ave, Unit 6C</v>
      </c>
      <c r="B3135" s="2" t="str">
        <f>HYPERLINK("https://www.compass.com/building/the-art-house-condominiums-manhattan-ny/281989881993998229/","The Art House Condominiums")</f>
        <v>The Art House Condominiums</v>
      </c>
      <c r="C3135" s="1" t="s">
        <v>82</v>
      </c>
      <c r="D3135" s="1" t="s">
        <v>41</v>
      </c>
      <c r="E3135" s="3">
        <v>765000</v>
      </c>
      <c r="F3135" s="1">
        <v>1013.24503311258</v>
      </c>
      <c r="M3135" s="1">
        <v>755</v>
      </c>
      <c r="Q3135" s="1" t="s">
        <v>42</v>
      </c>
      <c r="S3135" s="1" t="s">
        <v>42</v>
      </c>
      <c r="T3135" s="1" t="s">
        <v>203</v>
      </c>
      <c r="AA3135" s="1">
        <v>765000</v>
      </c>
      <c r="AB3135" s="1" t="s">
        <v>2520</v>
      </c>
      <c r="AC3135" s="5">
        <v>44075</v>
      </c>
      <c r="AF3135" s="1">
        <v>10029</v>
      </c>
      <c r="AI3135" s="1" t="s">
        <v>76</v>
      </c>
      <c r="AJ3135" s="1">
        <v>2008</v>
      </c>
      <c r="AK3135" s="1" t="s">
        <v>55</v>
      </c>
      <c r="AL3135" s="1">
        <v>76</v>
      </c>
    </row>
    <row r="3136" spans="1:38" x14ac:dyDescent="0.2">
      <c r="A3136" s="2" t="str">
        <f>HYPERLINK("https://www.compass.com/listing/25-park-row-unit-25b-manhattan-ny-10038/608424739603980201/","25 Park Row, Unit 25B")</f>
        <v>25 Park Row, Unit 25B</v>
      </c>
      <c r="B3136" s="2" t="str">
        <f>HYPERLINK("https://www.compass.com/building/25-park-row-manhattan-ny-10038/292920743539264837/","25 Park Row")</f>
        <v>25 Park Row</v>
      </c>
      <c r="C3136" s="1" t="s">
        <v>155</v>
      </c>
      <c r="D3136" s="1" t="s">
        <v>41</v>
      </c>
      <c r="E3136" s="3">
        <v>2085000</v>
      </c>
      <c r="F3136" s="1">
        <v>1866.6069829901501</v>
      </c>
      <c r="M3136" s="4">
        <v>1117</v>
      </c>
      <c r="Q3136" s="1" t="s">
        <v>42</v>
      </c>
      <c r="S3136" s="1" t="s">
        <v>42</v>
      </c>
      <c r="T3136" s="1" t="s">
        <v>203</v>
      </c>
      <c r="AA3136" s="1">
        <v>2085000</v>
      </c>
      <c r="AB3136" s="1" t="s">
        <v>2521</v>
      </c>
      <c r="AC3136" s="5">
        <v>44070</v>
      </c>
      <c r="AF3136" s="1">
        <v>10038</v>
      </c>
      <c r="AI3136" s="1" t="s">
        <v>58</v>
      </c>
      <c r="AJ3136" s="1">
        <v>2019</v>
      </c>
      <c r="AK3136" s="1" t="s">
        <v>55</v>
      </c>
      <c r="AL3136" s="1">
        <v>110</v>
      </c>
    </row>
    <row r="3137" spans="1:38" x14ac:dyDescent="0.2">
      <c r="A3137" s="2" t="str">
        <f>HYPERLINK("https://www.compass.com/listing/400-west-61st-street-unit-20b-manhattan-ny-10069/613182250257323057/","400 W 61st St, Unit 20B")</f>
        <v>400 W 61st St, Unit 20B</v>
      </c>
      <c r="B3137" s="2" t="str">
        <f t="shared" ref="B3137:B3139" si="471">HYPERLINK("https://www.compass.com/building/2-waterline-square-manhattan-ny/405244161814084533/","2 Waterline Square")</f>
        <v>2 Waterline Square</v>
      </c>
      <c r="C3137" s="1" t="s">
        <v>47</v>
      </c>
      <c r="D3137" s="1" t="s">
        <v>41</v>
      </c>
      <c r="E3137" s="3">
        <v>4200000</v>
      </c>
      <c r="F3137" s="1">
        <v>2415.1811385853898</v>
      </c>
      <c r="M3137" s="4">
        <v>1739</v>
      </c>
      <c r="Q3137" s="1" t="s">
        <v>42</v>
      </c>
      <c r="S3137" s="1" t="s">
        <v>42</v>
      </c>
      <c r="T3137" s="1" t="s">
        <v>203</v>
      </c>
      <c r="AA3137" s="1">
        <v>4200000</v>
      </c>
      <c r="AB3137" s="1" t="s">
        <v>2522</v>
      </c>
      <c r="AC3137" s="5">
        <v>44074</v>
      </c>
      <c r="AF3137" s="1">
        <v>10069</v>
      </c>
      <c r="AJ3137" s="1">
        <v>2019</v>
      </c>
      <c r="AL3137" s="1">
        <v>329</v>
      </c>
    </row>
    <row r="3138" spans="1:38" x14ac:dyDescent="0.2">
      <c r="A3138" s="2" t="str">
        <f>HYPERLINK("https://www.compass.com/listing/400-west-61st-street-unit-27e-manhattan-ny-10069/620018680755188073/","400 W 61st St, Unit 27E")</f>
        <v>400 W 61st St, Unit 27E</v>
      </c>
      <c r="B3138" s="2" t="str">
        <f t="shared" si="471"/>
        <v>2 Waterline Square</v>
      </c>
      <c r="C3138" s="1" t="s">
        <v>47</v>
      </c>
      <c r="D3138" s="1" t="s">
        <v>41</v>
      </c>
      <c r="E3138" s="3">
        <v>2646980</v>
      </c>
      <c r="F3138" s="1">
        <v>2209.4991652754502</v>
      </c>
      <c r="M3138" s="4">
        <v>1198</v>
      </c>
      <c r="Q3138" s="1" t="s">
        <v>42</v>
      </c>
      <c r="S3138" s="1" t="s">
        <v>42</v>
      </c>
      <c r="T3138" s="1" t="s">
        <v>203</v>
      </c>
      <c r="AA3138" s="1">
        <v>2646980</v>
      </c>
      <c r="AB3138" s="1" t="s">
        <v>2523</v>
      </c>
      <c r="AC3138" s="5">
        <v>44083</v>
      </c>
      <c r="AF3138" s="1">
        <v>10069</v>
      </c>
      <c r="AJ3138" s="1">
        <v>2019</v>
      </c>
      <c r="AL3138" s="1">
        <v>329</v>
      </c>
    </row>
    <row r="3139" spans="1:38" x14ac:dyDescent="0.2">
      <c r="A3139" s="2" t="str">
        <f>HYPERLINK("https://www.compass.com/listing/400-west-61st-street-unit-21c-manhattan-ny-10069/622929912585966873/","400 W 61st St, Unit 21C")</f>
        <v>400 W 61st St, Unit 21C</v>
      </c>
      <c r="B3139" s="2" t="str">
        <f t="shared" si="471"/>
        <v>2 Waterline Square</v>
      </c>
      <c r="C3139" s="1" t="s">
        <v>47</v>
      </c>
      <c r="D3139" s="1" t="s">
        <v>41</v>
      </c>
      <c r="E3139" s="3">
        <v>2160000</v>
      </c>
      <c r="F3139" s="1">
        <v>2238.34196891191</v>
      </c>
      <c r="M3139" s="1">
        <v>965</v>
      </c>
      <c r="Q3139" s="1" t="s">
        <v>42</v>
      </c>
      <c r="S3139" s="1" t="s">
        <v>42</v>
      </c>
      <c r="T3139" s="1" t="s">
        <v>203</v>
      </c>
      <c r="AA3139" s="1">
        <v>2160000</v>
      </c>
      <c r="AB3139" s="1" t="s">
        <v>2524</v>
      </c>
      <c r="AC3139" s="5">
        <v>44067</v>
      </c>
      <c r="AF3139" s="1">
        <v>10069</v>
      </c>
      <c r="AJ3139" s="1">
        <v>2019</v>
      </c>
      <c r="AL3139" s="1">
        <v>329</v>
      </c>
    </row>
    <row r="3140" spans="1:38" x14ac:dyDescent="0.2">
      <c r="A3140" s="2" t="str">
        <f>HYPERLINK("https://www.compass.com/listing/346-west-71st-street-unit-6a-manhattan-ny-10023/622930055645022825/","346 W 71st St, Unit 6A")</f>
        <v>346 W 71st St, Unit 6A</v>
      </c>
      <c r="B3140" s="2" t="str">
        <f>HYPERLINK("https://www.compass.com/building/346-w-71st-st-manhattan-ny-10023/293534968154524325/","346 W 71st St")</f>
        <v>346 W 71st St</v>
      </c>
      <c r="C3140" s="1" t="s">
        <v>47</v>
      </c>
      <c r="D3140" s="1" t="s">
        <v>41</v>
      </c>
      <c r="E3140" s="3">
        <v>1750000</v>
      </c>
      <c r="F3140" s="1">
        <v>1750</v>
      </c>
      <c r="M3140" s="4">
        <v>1000</v>
      </c>
      <c r="Q3140" s="1" t="s">
        <v>42</v>
      </c>
      <c r="S3140" s="1" t="s">
        <v>42</v>
      </c>
      <c r="T3140" s="1" t="s">
        <v>203</v>
      </c>
      <c r="AA3140" s="1">
        <v>1750000</v>
      </c>
      <c r="AB3140" s="1" t="s">
        <v>2525</v>
      </c>
      <c r="AC3140" s="5">
        <v>44099</v>
      </c>
      <c r="AF3140" s="1">
        <v>10023</v>
      </c>
      <c r="AJ3140" s="1">
        <v>1900</v>
      </c>
      <c r="AL3140" s="1">
        <v>1</v>
      </c>
    </row>
    <row r="3141" spans="1:38" x14ac:dyDescent="0.2">
      <c r="A3141" s="2" t="str">
        <f>HYPERLINK("https://www.compass.com/listing/25-park-row-unit-14d-manhattan-ny-10038/623650011013913201/","25 Park Row, Unit 14D")</f>
        <v>25 Park Row, Unit 14D</v>
      </c>
      <c r="B3141" s="2" t="str">
        <f t="shared" ref="B3141:B3142" si="472">HYPERLINK("https://www.compass.com/building/25-park-row-manhattan-ny-10038/292920743539264837/","25 Park Row")</f>
        <v>25 Park Row</v>
      </c>
      <c r="C3141" s="1" t="s">
        <v>155</v>
      </c>
      <c r="D3141" s="1" t="s">
        <v>41</v>
      </c>
      <c r="E3141" s="3">
        <v>4250000</v>
      </c>
      <c r="F3141" s="1">
        <v>2009.4562647754101</v>
      </c>
      <c r="M3141" s="4">
        <v>2115</v>
      </c>
      <c r="Q3141" s="1" t="s">
        <v>42</v>
      </c>
      <c r="S3141" s="1" t="s">
        <v>42</v>
      </c>
      <c r="T3141" s="1" t="s">
        <v>203</v>
      </c>
      <c r="AA3141" s="1">
        <v>4250000</v>
      </c>
      <c r="AB3141" s="1" t="s">
        <v>2526</v>
      </c>
      <c r="AC3141" s="5">
        <v>44092</v>
      </c>
      <c r="AF3141" s="1">
        <v>10038</v>
      </c>
      <c r="AI3141" s="1" t="s">
        <v>58</v>
      </c>
      <c r="AJ3141" s="1">
        <v>2019</v>
      </c>
      <c r="AK3141" s="1" t="s">
        <v>55</v>
      </c>
      <c r="AL3141" s="1">
        <v>110</v>
      </c>
    </row>
    <row r="3142" spans="1:38" x14ac:dyDescent="0.2">
      <c r="A3142" s="2" t="str">
        <f>HYPERLINK("https://www.compass.com/listing/25-park-row-unit-30c-manhattan-ny-10038/627461461719144577/","25 Park Row, Unit 30C")</f>
        <v>25 Park Row, Unit 30C</v>
      </c>
      <c r="B3142" s="2" t="str">
        <f t="shared" si="472"/>
        <v>25 Park Row</v>
      </c>
      <c r="C3142" s="1" t="s">
        <v>155</v>
      </c>
      <c r="D3142" s="1" t="s">
        <v>41</v>
      </c>
      <c r="E3142" s="3">
        <v>3650000</v>
      </c>
      <c r="F3142" s="1">
        <v>2115.9420289855002</v>
      </c>
      <c r="M3142" s="4">
        <v>1725</v>
      </c>
      <c r="Q3142" s="1" t="s">
        <v>42</v>
      </c>
      <c r="S3142" s="1" t="s">
        <v>42</v>
      </c>
      <c r="T3142" s="1" t="s">
        <v>203</v>
      </c>
      <c r="AA3142" s="1">
        <v>3650000</v>
      </c>
      <c r="AB3142" s="1" t="s">
        <v>2527</v>
      </c>
      <c r="AC3142" s="5">
        <v>44098</v>
      </c>
      <c r="AF3142" s="1">
        <v>10038</v>
      </c>
      <c r="AI3142" s="1" t="s">
        <v>58</v>
      </c>
      <c r="AJ3142" s="1">
        <v>2019</v>
      </c>
      <c r="AK3142" s="1" t="s">
        <v>55</v>
      </c>
      <c r="AL3142" s="1">
        <v>110</v>
      </c>
    </row>
    <row r="3143" spans="1:38" x14ac:dyDescent="0.2">
      <c r="A3143" s="2" t="str">
        <f>HYPERLINK("https://www.compass.com/listing/269-west-87th-street-unit-ph1-manhattan-ny-10024/627464961566302785/","269 W 87th St, Unit PH1")</f>
        <v>269 W 87th St, Unit PH1</v>
      </c>
      <c r="B3143" s="2" t="str">
        <f>HYPERLINK("https://www.compass.com/building/west-end-and-eighty-seven-manhattan-ny/282058755477110005/","West End and Eighty Seven")</f>
        <v>West End and Eighty Seven</v>
      </c>
      <c r="C3143" s="1" t="s">
        <v>47</v>
      </c>
      <c r="D3143" s="1" t="s">
        <v>41</v>
      </c>
      <c r="E3143" s="3">
        <v>5750000</v>
      </c>
      <c r="Q3143" s="1" t="s">
        <v>191</v>
      </c>
      <c r="S3143" s="1" t="s">
        <v>191</v>
      </c>
      <c r="T3143" s="1" t="s">
        <v>203</v>
      </c>
      <c r="AA3143" s="1">
        <v>5750000</v>
      </c>
      <c r="AB3143" s="1" t="s">
        <v>2528</v>
      </c>
      <c r="AC3143" s="5">
        <v>44099</v>
      </c>
      <c r="AF3143" s="1">
        <v>10024</v>
      </c>
      <c r="AI3143" s="1" t="s">
        <v>67</v>
      </c>
      <c r="AJ3143" s="1">
        <v>2018</v>
      </c>
      <c r="AK3143" s="1" t="s">
        <v>46</v>
      </c>
      <c r="AL3143" s="1">
        <v>39</v>
      </c>
    </row>
    <row r="3144" spans="1:38" x14ac:dyDescent="0.2">
      <c r="A3144" s="2" t="str">
        <f>HYPERLINK("https://www.compass.com/listing/400-west-61st-street-unit-22l-manhattan-ny-10069/650205638014940177/","400 W 61st St, Unit 22L")</f>
        <v>400 W 61st St, Unit 22L</v>
      </c>
      <c r="B3144" s="2" t="str">
        <f t="shared" ref="B3144:B3147" si="473">HYPERLINK("https://www.compass.com/building/2-waterline-square-manhattan-ny/405244161814084533/","2 Waterline Square")</f>
        <v>2 Waterline Square</v>
      </c>
      <c r="C3144" s="1" t="s">
        <v>47</v>
      </c>
      <c r="D3144" s="1" t="s">
        <v>41</v>
      </c>
      <c r="E3144" s="3">
        <v>2011044</v>
      </c>
      <c r="F3144" s="1">
        <v>2319.5429642445201</v>
      </c>
      <c r="M3144" s="1">
        <v>867</v>
      </c>
      <c r="Q3144" s="1" t="s">
        <v>42</v>
      </c>
      <c r="S3144" s="1" t="s">
        <v>42</v>
      </c>
      <c r="T3144" s="1" t="s">
        <v>203</v>
      </c>
      <c r="AA3144" s="1">
        <v>2011043.75</v>
      </c>
      <c r="AB3144" s="1" t="s">
        <v>2529</v>
      </c>
      <c r="AC3144" s="5">
        <v>44130</v>
      </c>
      <c r="AF3144" s="1">
        <v>10069</v>
      </c>
      <c r="AJ3144" s="1">
        <v>2019</v>
      </c>
      <c r="AL3144" s="1">
        <v>329</v>
      </c>
    </row>
    <row r="3145" spans="1:38" x14ac:dyDescent="0.2">
      <c r="A3145" s="2" t="str">
        <f>HYPERLINK("https://www.compass.com/listing/400-west-61st-street-unit-23j-manhattan-ny-10069/650205646235742969/","400 W 61st St, Unit 23J")</f>
        <v>400 W 61st St, Unit 23J</v>
      </c>
      <c r="B3145" s="2" t="str">
        <f t="shared" si="473"/>
        <v>2 Waterline Square</v>
      </c>
      <c r="C3145" s="1" t="s">
        <v>47</v>
      </c>
      <c r="D3145" s="1" t="s">
        <v>41</v>
      </c>
      <c r="E3145" s="3">
        <v>2744184</v>
      </c>
      <c r="F3145" s="1">
        <v>2361.6039156626498</v>
      </c>
      <c r="M3145" s="4">
        <v>1162</v>
      </c>
      <c r="Q3145" s="1" t="s">
        <v>42</v>
      </c>
      <c r="S3145" s="1" t="s">
        <v>42</v>
      </c>
      <c r="T3145" s="1" t="s">
        <v>203</v>
      </c>
      <c r="AA3145" s="1">
        <v>2744183.75</v>
      </c>
      <c r="AB3145" s="1" t="s">
        <v>2530</v>
      </c>
      <c r="AC3145" s="5">
        <v>44125</v>
      </c>
      <c r="AF3145" s="1">
        <v>10069</v>
      </c>
      <c r="AJ3145" s="1">
        <v>2019</v>
      </c>
      <c r="AL3145" s="1">
        <v>329</v>
      </c>
    </row>
    <row r="3146" spans="1:38" x14ac:dyDescent="0.2">
      <c r="A3146" s="2" t="str">
        <f>HYPERLINK("https://www.compass.com/listing/400-west-61st-street-unit-23l-manhattan-ny-10069/650205648911709377/","400 W 61st St, Unit 23L")</f>
        <v>400 W 61st St, Unit 23L</v>
      </c>
      <c r="B3146" s="2" t="str">
        <f t="shared" si="473"/>
        <v>2 Waterline Square</v>
      </c>
      <c r="C3146" s="1" t="s">
        <v>47</v>
      </c>
      <c r="D3146" s="1" t="s">
        <v>41</v>
      </c>
      <c r="E3146" s="3">
        <v>2036500</v>
      </c>
      <c r="F3146" s="1">
        <v>2348.9042675893802</v>
      </c>
      <c r="M3146" s="1">
        <v>867</v>
      </c>
      <c r="Q3146" s="1" t="s">
        <v>42</v>
      </c>
      <c r="S3146" s="1" t="s">
        <v>42</v>
      </c>
      <c r="T3146" s="1" t="s">
        <v>203</v>
      </c>
      <c r="AA3146" s="1">
        <v>2036500</v>
      </c>
      <c r="AB3146" s="1" t="s">
        <v>2531</v>
      </c>
      <c r="AC3146" s="5">
        <v>44123</v>
      </c>
      <c r="AF3146" s="1">
        <v>10069</v>
      </c>
      <c r="AJ3146" s="1">
        <v>2019</v>
      </c>
      <c r="AL3146" s="1">
        <v>329</v>
      </c>
    </row>
    <row r="3147" spans="1:38" x14ac:dyDescent="0.2">
      <c r="A3147" s="2" t="str">
        <f>HYPERLINK("https://www.compass.com/listing/400-west-61st-street-unit-30g-manhattan-ny-10069/650205685527932921/","400 W 61st St, Unit 30G")</f>
        <v>400 W 61st St, Unit 30G</v>
      </c>
      <c r="B3147" s="2" t="str">
        <f t="shared" si="473"/>
        <v>2 Waterline Square</v>
      </c>
      <c r="C3147" s="1" t="s">
        <v>47</v>
      </c>
      <c r="D3147" s="1" t="s">
        <v>41</v>
      </c>
      <c r="E3147" s="3">
        <v>3450000</v>
      </c>
      <c r="F3147" s="1">
        <v>2250.4892367906</v>
      </c>
      <c r="M3147" s="4">
        <v>1533</v>
      </c>
      <c r="Q3147" s="1" t="s">
        <v>42</v>
      </c>
      <c r="S3147" s="1" t="s">
        <v>42</v>
      </c>
      <c r="T3147" s="1" t="s">
        <v>203</v>
      </c>
      <c r="AA3147" s="1">
        <v>3450000</v>
      </c>
      <c r="AB3147" s="1" t="s">
        <v>2532</v>
      </c>
      <c r="AC3147" s="5">
        <v>44127</v>
      </c>
      <c r="AF3147" s="1">
        <v>10069</v>
      </c>
      <c r="AJ3147" s="1">
        <v>2019</v>
      </c>
      <c r="AL3147" s="1">
        <v>329</v>
      </c>
    </row>
    <row r="3148" spans="1:38" x14ac:dyDescent="0.2">
      <c r="A3148" s="2" t="str">
        <f>HYPERLINK("https://www.compass.com/listing/302-east-96th-street-unit-1302-manhattan-ny-10128/650209108323378321/","302 E 96th St, Unit 1302")</f>
        <v>302 E 96th St, Unit 1302</v>
      </c>
      <c r="B3148" s="2" t="str">
        <f>HYPERLINK("https://www.compass.com/building/302-e-96th-st-manhattan-ny/282050840162756469/","302 E 96th St")</f>
        <v>302 E 96th St</v>
      </c>
      <c r="C3148" s="1" t="s">
        <v>53</v>
      </c>
      <c r="D3148" s="1" t="s">
        <v>41</v>
      </c>
      <c r="E3148" s="3">
        <v>1675021</v>
      </c>
      <c r="F3148" s="1">
        <v>1710.9512257405499</v>
      </c>
      <c r="H3148" s="1">
        <v>1</v>
      </c>
      <c r="J3148" s="1">
        <v>2</v>
      </c>
      <c r="K3148" s="1">
        <v>2</v>
      </c>
      <c r="M3148" s="1">
        <v>979</v>
      </c>
      <c r="Q3148" s="1" t="s">
        <v>42</v>
      </c>
      <c r="S3148" s="1" t="s">
        <v>42</v>
      </c>
      <c r="T3148" s="1" t="s">
        <v>203</v>
      </c>
      <c r="AA3148" s="1">
        <v>1675021.25</v>
      </c>
      <c r="AB3148" s="1" t="s">
        <v>2533</v>
      </c>
      <c r="AC3148" s="5">
        <v>44133</v>
      </c>
      <c r="AF3148" s="1">
        <v>10128</v>
      </c>
      <c r="AI3148" s="1" t="s">
        <v>54</v>
      </c>
      <c r="AJ3148" s="1">
        <v>2018</v>
      </c>
      <c r="AK3148" s="1" t="s">
        <v>55</v>
      </c>
      <c r="AL3148" s="1">
        <v>48</v>
      </c>
    </row>
    <row r="3149" spans="1:38" x14ac:dyDescent="0.2">
      <c r="A3149" s="2" t="str">
        <f>HYPERLINK("https://www.compass.com/listing/25-park-row-unit-6c-manhattan-ny-10038/651684516839458153/","25 Park Row, Unit 6C")</f>
        <v>25 Park Row, Unit 6C</v>
      </c>
      <c r="B3149" s="2" t="str">
        <f>HYPERLINK("https://www.compass.com/building/25-park-row-manhattan-ny-10038/292920743539264837/","25 Park Row")</f>
        <v>25 Park Row</v>
      </c>
      <c r="C3149" s="1" t="s">
        <v>155</v>
      </c>
      <c r="D3149" s="1" t="s">
        <v>41</v>
      </c>
      <c r="E3149" s="3">
        <v>2280000</v>
      </c>
      <c r="F3149" s="1">
        <v>1693.9078751857301</v>
      </c>
      <c r="H3149" s="1">
        <v>1</v>
      </c>
      <c r="J3149" s="1">
        <v>1.5</v>
      </c>
      <c r="K3149" s="1">
        <v>1</v>
      </c>
      <c r="L3149" s="1">
        <v>1</v>
      </c>
      <c r="M3149" s="4">
        <v>1346</v>
      </c>
      <c r="N3149" s="1">
        <v>1617.79</v>
      </c>
      <c r="O3149" s="1">
        <v>3235.8</v>
      </c>
      <c r="P3149" s="1">
        <v>1618</v>
      </c>
      <c r="Q3149" s="1" t="s">
        <v>42</v>
      </c>
      <c r="S3149" s="1" t="s">
        <v>42</v>
      </c>
      <c r="T3149" s="1" t="s">
        <v>203</v>
      </c>
      <c r="AA3149" s="1">
        <v>2280000</v>
      </c>
      <c r="AB3149" s="1" t="s">
        <v>2534</v>
      </c>
      <c r="AC3149" s="5">
        <v>44071</v>
      </c>
      <c r="AF3149" s="1">
        <v>10038</v>
      </c>
      <c r="AI3149" s="1" t="s">
        <v>58</v>
      </c>
      <c r="AJ3149" s="1">
        <v>2019</v>
      </c>
      <c r="AK3149" s="1" t="s">
        <v>55</v>
      </c>
      <c r="AL3149" s="1">
        <v>110</v>
      </c>
    </row>
    <row r="3150" spans="1:38" x14ac:dyDescent="0.2">
      <c r="A3150" s="2" t="str">
        <f>HYPERLINK("https://www.compass.com/listing/3-east-3rd-street-unit-6-manhattan-ny-10003/651710613329021993/","3 E 3rd St, Unit 6")</f>
        <v>3 E 3rd St, Unit 6</v>
      </c>
      <c r="B3150" s="2" t="str">
        <f>HYPERLINK("https://www.compass.com/building/3-e-3rd-manhattan-ny/293533179342514101/","3 E 3rd")</f>
        <v>3 E 3rd</v>
      </c>
      <c r="C3150" s="1" t="s">
        <v>88</v>
      </c>
      <c r="D3150" s="1" t="s">
        <v>41</v>
      </c>
      <c r="E3150" s="3">
        <v>4310000</v>
      </c>
      <c r="F3150" s="1">
        <v>2116.8958742632599</v>
      </c>
      <c r="M3150" s="4">
        <v>2036</v>
      </c>
      <c r="Q3150" s="1" t="s">
        <v>42</v>
      </c>
      <c r="S3150" s="1" t="s">
        <v>42</v>
      </c>
      <c r="T3150" s="1" t="s">
        <v>203</v>
      </c>
      <c r="AA3150" s="1">
        <v>4310000</v>
      </c>
      <c r="AB3150" s="1" t="s">
        <v>2535</v>
      </c>
      <c r="AC3150" s="5">
        <v>44119</v>
      </c>
      <c r="AF3150" s="1">
        <v>10003</v>
      </c>
      <c r="AJ3150" s="1">
        <v>2019</v>
      </c>
      <c r="AL3150" s="1">
        <v>5</v>
      </c>
    </row>
    <row r="3151" spans="1:38" x14ac:dyDescent="0.2">
      <c r="A3151" s="2" t="str">
        <f>HYPERLINK("https://www.compass.com/listing/400-west-61st-street-unit-20e-manhattan-ny-10069/652225213552082585/","400 W 61st St, Unit 20E")</f>
        <v>400 W 61st St, Unit 20E</v>
      </c>
      <c r="B3151" s="2" t="str">
        <f t="shared" ref="B3151:B3155" si="474">HYPERLINK("https://www.compass.com/building/2-waterline-square-manhattan-ny/405244161814084533/","2 Waterline Square")</f>
        <v>2 Waterline Square</v>
      </c>
      <c r="C3151" s="1" t="s">
        <v>47</v>
      </c>
      <c r="D3151" s="1" t="s">
        <v>41</v>
      </c>
      <c r="E3151" s="3">
        <v>4963500</v>
      </c>
      <c r="F3151" s="1">
        <v>2459.6134786917701</v>
      </c>
      <c r="M3151" s="4">
        <v>2018</v>
      </c>
      <c r="Q3151" s="1" t="s">
        <v>42</v>
      </c>
      <c r="S3151" s="1" t="s">
        <v>42</v>
      </c>
      <c r="T3151" s="1" t="s">
        <v>203</v>
      </c>
      <c r="AA3151" s="1">
        <v>4963500</v>
      </c>
      <c r="AB3151" s="1" t="s">
        <v>2536</v>
      </c>
      <c r="AC3151" s="5">
        <v>44105</v>
      </c>
      <c r="AF3151" s="1">
        <v>10069</v>
      </c>
      <c r="AJ3151" s="1">
        <v>2019</v>
      </c>
      <c r="AL3151" s="1">
        <v>329</v>
      </c>
    </row>
    <row r="3152" spans="1:38" x14ac:dyDescent="0.2">
      <c r="A3152" s="2" t="str">
        <f>HYPERLINK("https://www.compass.com/listing/400-west-61st-street-unit-21l-manhattan-ny-10069/652225231143162713/","400 W 61st St, Unit 21L")</f>
        <v>400 W 61st St, Unit 21L</v>
      </c>
      <c r="B3152" s="2" t="str">
        <f t="shared" si="474"/>
        <v>2 Waterline Square</v>
      </c>
      <c r="C3152" s="1" t="s">
        <v>47</v>
      </c>
      <c r="D3152" s="1" t="s">
        <v>41</v>
      </c>
      <c r="E3152" s="3">
        <v>1985588</v>
      </c>
      <c r="F3152" s="1">
        <v>2290.1816608996501</v>
      </c>
      <c r="M3152" s="1">
        <v>867</v>
      </c>
      <c r="Q3152" s="1" t="s">
        <v>42</v>
      </c>
      <c r="S3152" s="1" t="s">
        <v>42</v>
      </c>
      <c r="T3152" s="1" t="s">
        <v>203</v>
      </c>
      <c r="AA3152" s="1">
        <v>1985587.5</v>
      </c>
      <c r="AB3152" s="1" t="s">
        <v>2537</v>
      </c>
      <c r="AC3152" s="5">
        <v>44103</v>
      </c>
      <c r="AF3152" s="1">
        <v>10069</v>
      </c>
      <c r="AJ3152" s="1">
        <v>2019</v>
      </c>
      <c r="AL3152" s="1">
        <v>329</v>
      </c>
    </row>
    <row r="3153" spans="1:38" x14ac:dyDescent="0.2">
      <c r="A3153" s="2" t="str">
        <f>HYPERLINK("https://www.compass.com/listing/400-west-61st-street-unit-25a-manhattan-ny-10069/652225261811750377/","400 W 61st St, Unit 25A")</f>
        <v>400 W 61st St, Unit 25A</v>
      </c>
      <c r="B3153" s="2" t="str">
        <f t="shared" si="474"/>
        <v>2 Waterline Square</v>
      </c>
      <c r="C3153" s="1" t="s">
        <v>47</v>
      </c>
      <c r="D3153" s="1" t="s">
        <v>41</v>
      </c>
      <c r="E3153" s="3">
        <v>4302106</v>
      </c>
      <c r="F3153" s="1">
        <v>2893.1447545393398</v>
      </c>
      <c r="M3153" s="4">
        <v>1487</v>
      </c>
      <c r="Q3153" s="1" t="s">
        <v>42</v>
      </c>
      <c r="S3153" s="1" t="s">
        <v>42</v>
      </c>
      <c r="T3153" s="1" t="s">
        <v>203</v>
      </c>
      <c r="AA3153" s="1">
        <v>4302106.25</v>
      </c>
      <c r="AB3153" s="1" t="s">
        <v>2538</v>
      </c>
      <c r="AC3153" s="5">
        <v>44106</v>
      </c>
      <c r="AF3153" s="1">
        <v>10069</v>
      </c>
      <c r="AJ3153" s="1">
        <v>2019</v>
      </c>
      <c r="AL3153" s="1">
        <v>329</v>
      </c>
    </row>
    <row r="3154" spans="1:38" x14ac:dyDescent="0.2">
      <c r="A3154" s="2" t="str">
        <f>HYPERLINK("https://www.compass.com/listing/400-west-61st-street-unit-26a-manhattan-ny-10069/652225268086343313/","400 W 61st St, Unit 26A")</f>
        <v>400 W 61st St, Unit 26A</v>
      </c>
      <c r="B3154" s="2" t="str">
        <f t="shared" si="474"/>
        <v>2 Waterline Square</v>
      </c>
      <c r="C3154" s="1" t="s">
        <v>47</v>
      </c>
      <c r="D3154" s="1" t="s">
        <v>41</v>
      </c>
      <c r="E3154" s="3">
        <v>3925000</v>
      </c>
      <c r="F3154" s="1">
        <v>2639.5427034297199</v>
      </c>
      <c r="M3154" s="4">
        <v>1487</v>
      </c>
      <c r="Q3154" s="1" t="s">
        <v>42</v>
      </c>
      <c r="S3154" s="1" t="s">
        <v>42</v>
      </c>
      <c r="T3154" s="1" t="s">
        <v>203</v>
      </c>
      <c r="AA3154" s="1">
        <v>3925000</v>
      </c>
      <c r="AB3154" s="1" t="s">
        <v>2539</v>
      </c>
      <c r="AC3154" s="5">
        <v>44008</v>
      </c>
      <c r="AF3154" s="1">
        <v>10069</v>
      </c>
      <c r="AJ3154" s="1">
        <v>2019</v>
      </c>
      <c r="AL3154" s="1">
        <v>329</v>
      </c>
    </row>
    <row r="3155" spans="1:38" x14ac:dyDescent="0.2">
      <c r="A3155" s="2" t="str">
        <f>HYPERLINK("https://www.compass.com/listing/400-west-61st-street-unit-29a-manhattan-ny-10069/652225283379081425/","400 W 61st St, Unit 29A")</f>
        <v>400 W 61st St, Unit 29A</v>
      </c>
      <c r="B3155" s="2" t="str">
        <f t="shared" si="474"/>
        <v>2 Waterline Square</v>
      </c>
      <c r="C3155" s="1" t="s">
        <v>47</v>
      </c>
      <c r="D3155" s="1" t="s">
        <v>41</v>
      </c>
      <c r="E3155" s="3">
        <v>4485391</v>
      </c>
      <c r="F3155" s="1">
        <v>3016.4029926025501</v>
      </c>
      <c r="M3155" s="4">
        <v>1487</v>
      </c>
      <c r="Q3155" s="1" t="s">
        <v>42</v>
      </c>
      <c r="S3155" s="1" t="s">
        <v>42</v>
      </c>
      <c r="T3155" s="1" t="s">
        <v>203</v>
      </c>
      <c r="AA3155" s="1">
        <v>4485391.25</v>
      </c>
      <c r="AB3155" s="1" t="s">
        <v>2540</v>
      </c>
      <c r="AC3155" s="5">
        <v>44096</v>
      </c>
      <c r="AF3155" s="1">
        <v>10069</v>
      </c>
      <c r="AJ3155" s="1">
        <v>2019</v>
      </c>
      <c r="AL3155" s="1">
        <v>329</v>
      </c>
    </row>
    <row r="3156" spans="1:38" x14ac:dyDescent="0.2">
      <c r="A3156" s="2" t="str">
        <f>HYPERLINK("https://www.compass.com/listing/346-west-71st-street-unit-6c-manhattan-ny-10023/652227642733562289/","346 W 71st St, Unit 6C")</f>
        <v>346 W 71st St, Unit 6C</v>
      </c>
      <c r="B3156" s="2" t="str">
        <f>HYPERLINK("https://www.compass.com/building/346-w-71st-st-manhattan-ny-10023/293534968154524325/","346 W 71st St")</f>
        <v>346 W 71st St</v>
      </c>
      <c r="C3156" s="1" t="s">
        <v>47</v>
      </c>
      <c r="D3156" s="1" t="s">
        <v>41</v>
      </c>
      <c r="E3156" s="3">
        <v>2300000</v>
      </c>
      <c r="F3156" s="1">
        <v>1544.6608462055001</v>
      </c>
      <c r="M3156" s="4">
        <v>1489</v>
      </c>
      <c r="Q3156" s="1" t="s">
        <v>42</v>
      </c>
      <c r="S3156" s="1" t="s">
        <v>42</v>
      </c>
      <c r="T3156" s="1" t="s">
        <v>203</v>
      </c>
      <c r="AA3156" s="1">
        <v>2300000</v>
      </c>
      <c r="AB3156" s="1" t="s">
        <v>2541</v>
      </c>
      <c r="AC3156" s="5">
        <v>44109</v>
      </c>
      <c r="AF3156" s="1">
        <v>10023</v>
      </c>
      <c r="AJ3156" s="1">
        <v>1900</v>
      </c>
      <c r="AL3156" s="1">
        <v>1</v>
      </c>
    </row>
    <row r="3157" spans="1:38" x14ac:dyDescent="0.2">
      <c r="A3157" s="2" t="str">
        <f>HYPERLINK("https://www.compass.com/listing/535-west-52nd-street-unit-7c-manhattan-ny-10019/653595787872838521/","535 W 52nd St, Unit 7C")</f>
        <v>535 W 52nd St, Unit 7C</v>
      </c>
      <c r="B3157" s="2" t="str">
        <f>HYPERLINK("https://www.compass.com/building/535-w-52nd-st-manhattan-ny/292847931621444293/","535 W 52nd St")</f>
        <v>535 W 52nd St</v>
      </c>
      <c r="C3157" s="1" t="s">
        <v>57</v>
      </c>
      <c r="D3157" s="1" t="s">
        <v>41</v>
      </c>
      <c r="E3157" s="3">
        <v>153400</v>
      </c>
      <c r="Q3157" s="1" t="s">
        <v>191</v>
      </c>
      <c r="S3157" s="1" t="s">
        <v>191</v>
      </c>
      <c r="T3157" s="1" t="s">
        <v>203</v>
      </c>
      <c r="AA3157" s="1">
        <v>153400</v>
      </c>
      <c r="AB3157" s="1" t="s">
        <v>2542</v>
      </c>
      <c r="AC3157" s="5">
        <v>44130</v>
      </c>
      <c r="AF3157" s="1">
        <v>10019</v>
      </c>
      <c r="AJ3157" s="1">
        <v>2014</v>
      </c>
      <c r="AL3157" s="1">
        <v>95</v>
      </c>
    </row>
    <row r="3158" spans="1:38" x14ac:dyDescent="0.2">
      <c r="A3158" s="2" t="str">
        <f>HYPERLINK("https://www.compass.com/listing/400-west-61st-street-unit-26f-manhattan-ny-10069/653596630080803145/","400 W 61st St, Unit 26F")</f>
        <v>400 W 61st St, Unit 26F</v>
      </c>
      <c r="B3158" s="2" t="str">
        <f t="shared" ref="B3158:B3159" si="475">HYPERLINK("https://www.compass.com/building/2-waterline-square-manhattan-ny/405244161814084533/","2 Waterline Square")</f>
        <v>2 Waterline Square</v>
      </c>
      <c r="C3158" s="1" t="s">
        <v>47</v>
      </c>
      <c r="D3158" s="1" t="s">
        <v>41</v>
      </c>
      <c r="E3158" s="3">
        <v>1715000</v>
      </c>
      <c r="F3158" s="1">
        <v>2212.9032258064499</v>
      </c>
      <c r="M3158" s="1">
        <v>775</v>
      </c>
      <c r="Q3158" s="1" t="s">
        <v>42</v>
      </c>
      <c r="S3158" s="1" t="s">
        <v>42</v>
      </c>
      <c r="T3158" s="1" t="s">
        <v>203</v>
      </c>
      <c r="AA3158" s="1">
        <v>1715000</v>
      </c>
      <c r="AB3158" s="1" t="s">
        <v>2543</v>
      </c>
      <c r="AC3158" s="5">
        <v>44008</v>
      </c>
      <c r="AF3158" s="1">
        <v>10069</v>
      </c>
      <c r="AJ3158" s="1">
        <v>2019</v>
      </c>
      <c r="AL3158" s="1">
        <v>329</v>
      </c>
    </row>
    <row r="3159" spans="1:38" x14ac:dyDescent="0.2">
      <c r="A3159" s="2" t="str">
        <f>HYPERLINK("https://www.compass.com/listing/400-west-61st-street-unit-31a-manhattan-ny-10069/654819262256482017/","400 W 61st St, Unit 31A")</f>
        <v>400 W 61st St, Unit 31A</v>
      </c>
      <c r="B3159" s="2" t="str">
        <f t="shared" si="475"/>
        <v>2 Waterline Square</v>
      </c>
      <c r="C3159" s="1" t="s">
        <v>47</v>
      </c>
      <c r="D3159" s="1" t="s">
        <v>41</v>
      </c>
      <c r="E3159" s="3">
        <v>5825000</v>
      </c>
      <c r="F3159" s="1">
        <v>3037.0177267987401</v>
      </c>
      <c r="M3159" s="4">
        <v>1918</v>
      </c>
      <c r="Q3159" s="1" t="s">
        <v>42</v>
      </c>
      <c r="S3159" s="1" t="s">
        <v>42</v>
      </c>
      <c r="T3159" s="1" t="s">
        <v>203</v>
      </c>
      <c r="AA3159" s="1">
        <v>5825000</v>
      </c>
      <c r="AB3159" s="1" t="s">
        <v>2544</v>
      </c>
      <c r="AC3159" s="5">
        <v>44071</v>
      </c>
      <c r="AF3159" s="1">
        <v>10069</v>
      </c>
      <c r="AJ3159" s="1">
        <v>2019</v>
      </c>
      <c r="AL3159" s="1">
        <v>329</v>
      </c>
    </row>
    <row r="3160" spans="1:38" x14ac:dyDescent="0.2">
      <c r="A3160" s="2" t="str">
        <f>HYPERLINK("https://www.compass.com/listing/346-west-71st-street-unit-pha-manhattan-ny-10023/657721172386752825/","346 W 71st St, Unit PHA")</f>
        <v>346 W 71st St, Unit PHA</v>
      </c>
      <c r="B3160" s="2" t="str">
        <f>HYPERLINK("https://www.compass.com/building/346-w-71st-st-manhattan-ny-10023/293534968154524325/","346 W 71st St")</f>
        <v>346 W 71st St</v>
      </c>
      <c r="C3160" s="1" t="s">
        <v>47</v>
      </c>
      <c r="D3160" s="1" t="s">
        <v>41</v>
      </c>
      <c r="E3160" s="3">
        <v>5400000</v>
      </c>
      <c r="F3160" s="1">
        <v>2115.1586368977601</v>
      </c>
      <c r="M3160" s="4">
        <v>2553</v>
      </c>
      <c r="Q3160" s="1" t="s">
        <v>42</v>
      </c>
      <c r="S3160" s="1" t="s">
        <v>42</v>
      </c>
      <c r="T3160" s="1" t="s">
        <v>203</v>
      </c>
      <c r="AA3160" s="1">
        <v>5400000</v>
      </c>
      <c r="AB3160" s="1" t="s">
        <v>2545</v>
      </c>
      <c r="AC3160" s="5">
        <v>44151</v>
      </c>
      <c r="AF3160" s="1">
        <v>10023</v>
      </c>
      <c r="AJ3160" s="1">
        <v>1900</v>
      </c>
      <c r="AL3160" s="1">
        <v>1</v>
      </c>
    </row>
    <row r="3161" spans="1:38" x14ac:dyDescent="0.2">
      <c r="A3161" s="2" t="str">
        <f>HYPERLINK("https://www.compass.com/listing/25-park-row-unit-32a-manhattan-ny-10038/674614622933601649/","25 Park Row, Unit 32A")</f>
        <v>25 Park Row, Unit 32A</v>
      </c>
      <c r="B3161" s="2" t="str">
        <f>HYPERLINK("https://www.compass.com/building/25-park-row-manhattan-ny-10038/292920743539264837/","25 Park Row")</f>
        <v>25 Park Row</v>
      </c>
      <c r="C3161" s="1" t="s">
        <v>155</v>
      </c>
      <c r="D3161" s="1" t="s">
        <v>41</v>
      </c>
      <c r="E3161" s="3">
        <v>4234050</v>
      </c>
      <c r="F3161" s="1">
        <v>2341.8418141592902</v>
      </c>
      <c r="M3161" s="4">
        <v>1808</v>
      </c>
      <c r="Q3161" s="1" t="s">
        <v>42</v>
      </c>
      <c r="S3161" s="1" t="s">
        <v>42</v>
      </c>
      <c r="T3161" s="1" t="s">
        <v>203</v>
      </c>
      <c r="AA3161" s="1">
        <v>4234050</v>
      </c>
      <c r="AB3161" s="1" t="s">
        <v>2546</v>
      </c>
      <c r="AC3161" s="5">
        <v>44078</v>
      </c>
      <c r="AF3161" s="1">
        <v>10038</v>
      </c>
      <c r="AI3161" s="1" t="s">
        <v>58</v>
      </c>
      <c r="AJ3161" s="1">
        <v>2019</v>
      </c>
      <c r="AK3161" s="1" t="s">
        <v>55</v>
      </c>
      <c r="AL3161" s="1">
        <v>110</v>
      </c>
    </row>
    <row r="3162" spans="1:38" x14ac:dyDescent="0.2">
      <c r="A3162" s="2" t="str">
        <f>HYPERLINK("https://www.compass.com/listing/400-west-61st-street-unit-34e-manhattan-ny-10069/683818132670019617/","400 W 61st St, Unit 34E")</f>
        <v>400 W 61st St, Unit 34E</v>
      </c>
      <c r="B3162" s="2" t="str">
        <f>HYPERLINK("https://www.compass.com/building/2-waterline-square-manhattan-ny/405244161814084533/","2 Waterline Square")</f>
        <v>2 Waterline Square</v>
      </c>
      <c r="C3162" s="1" t="s">
        <v>47</v>
      </c>
      <c r="D3162" s="1" t="s">
        <v>41</v>
      </c>
      <c r="E3162" s="3">
        <v>2790000</v>
      </c>
      <c r="F3162" s="1">
        <v>2392.79588336192</v>
      </c>
      <c r="M3162" s="4">
        <v>1166</v>
      </c>
      <c r="Q3162" s="1" t="s">
        <v>42</v>
      </c>
      <c r="S3162" s="1" t="s">
        <v>42</v>
      </c>
      <c r="T3162" s="1" t="s">
        <v>203</v>
      </c>
      <c r="AA3162" s="1">
        <v>2790000</v>
      </c>
      <c r="AB3162" s="1" t="s">
        <v>2547</v>
      </c>
      <c r="AC3162" s="5">
        <v>44183</v>
      </c>
      <c r="AF3162" s="1">
        <v>10069</v>
      </c>
      <c r="AJ3162" s="1">
        <v>2019</v>
      </c>
      <c r="AL3162" s="1">
        <v>329</v>
      </c>
    </row>
    <row r="3163" spans="1:38" x14ac:dyDescent="0.2">
      <c r="A3163" s="2" t="str">
        <f>HYPERLINK("https://www.compass.com/listing/25-park-row-unit-33a-manhattan-ny-10038/688354859942141097/","25 Park Row, Unit 33A")</f>
        <v>25 Park Row, Unit 33A</v>
      </c>
      <c r="B3163" s="2" t="str">
        <f t="shared" ref="B3163:B3164" si="476">HYPERLINK("https://www.compass.com/building/25-park-row-manhattan-ny-10038/292920743539264837/","25 Park Row")</f>
        <v>25 Park Row</v>
      </c>
      <c r="C3163" s="1" t="s">
        <v>155</v>
      </c>
      <c r="D3163" s="1" t="s">
        <v>41</v>
      </c>
      <c r="E3163" s="3">
        <v>4287500</v>
      </c>
      <c r="F3163" s="1">
        <v>2371.40486725663</v>
      </c>
      <c r="M3163" s="4">
        <v>1808</v>
      </c>
      <c r="Q3163" s="1" t="s">
        <v>42</v>
      </c>
      <c r="S3163" s="1" t="s">
        <v>42</v>
      </c>
      <c r="T3163" s="1" t="s">
        <v>203</v>
      </c>
      <c r="AA3163" s="1">
        <v>4287500</v>
      </c>
      <c r="AB3163" s="1" t="s">
        <v>2548</v>
      </c>
      <c r="AC3163" s="5">
        <v>44183</v>
      </c>
      <c r="AF3163" s="1">
        <v>10038</v>
      </c>
      <c r="AI3163" s="1" t="s">
        <v>58</v>
      </c>
      <c r="AJ3163" s="1">
        <v>2019</v>
      </c>
      <c r="AK3163" s="1" t="s">
        <v>55</v>
      </c>
      <c r="AL3163" s="1">
        <v>110</v>
      </c>
    </row>
    <row r="3164" spans="1:38" x14ac:dyDescent="0.2">
      <c r="A3164" s="2" t="str">
        <f>HYPERLINK("https://www.compass.com/listing/25-park-row-unit-34b-manhattan-ny-10038/693238402988907745/","25 Park Row, Unit 34B")</f>
        <v>25 Park Row, Unit 34B</v>
      </c>
      <c r="B3164" s="2" t="str">
        <f t="shared" si="476"/>
        <v>25 Park Row</v>
      </c>
      <c r="C3164" s="1" t="s">
        <v>155</v>
      </c>
      <c r="D3164" s="1" t="s">
        <v>41</v>
      </c>
      <c r="E3164" s="3">
        <v>5650000</v>
      </c>
      <c r="F3164" s="1">
        <v>2594.1230486684999</v>
      </c>
      <c r="M3164" s="4">
        <v>2178</v>
      </c>
      <c r="Q3164" s="1" t="s">
        <v>42</v>
      </c>
      <c r="S3164" s="1" t="s">
        <v>42</v>
      </c>
      <c r="T3164" s="1" t="s">
        <v>203</v>
      </c>
      <c r="AA3164" s="1">
        <v>5650000</v>
      </c>
      <c r="AB3164" s="1" t="s">
        <v>2549</v>
      </c>
      <c r="AC3164" s="5">
        <v>44172</v>
      </c>
      <c r="AF3164" s="1">
        <v>10038</v>
      </c>
      <c r="AI3164" s="1" t="s">
        <v>58</v>
      </c>
      <c r="AJ3164" s="1">
        <v>2019</v>
      </c>
      <c r="AK3164" s="1" t="s">
        <v>55</v>
      </c>
      <c r="AL3164" s="1">
        <v>110</v>
      </c>
    </row>
    <row r="3165" spans="1:38" x14ac:dyDescent="0.2">
      <c r="A3165" s="2" t="str">
        <f>HYPERLINK("https://www.compass.com/listing/400-west-61st-street-unit-23g-manhattan-ny-10069/693965750751500985/","400 W 61st St, Unit 23G")</f>
        <v>400 W 61st St, Unit 23G</v>
      </c>
      <c r="B3165" s="2" t="str">
        <f t="shared" ref="B3165:B3170" si="477">HYPERLINK("https://www.compass.com/building/2-waterline-square-manhattan-ny/405244161814084533/","2 Waterline Square")</f>
        <v>2 Waterline Square</v>
      </c>
      <c r="C3165" s="1" t="s">
        <v>47</v>
      </c>
      <c r="D3165" s="1" t="s">
        <v>41</v>
      </c>
      <c r="E3165" s="3">
        <v>3465000</v>
      </c>
      <c r="F3165" s="1">
        <v>4139.7849462365502</v>
      </c>
      <c r="M3165" s="1">
        <v>837</v>
      </c>
      <c r="Q3165" s="1" t="s">
        <v>42</v>
      </c>
      <c r="S3165" s="1" t="s">
        <v>42</v>
      </c>
      <c r="T3165" s="1" t="s">
        <v>203</v>
      </c>
      <c r="AA3165" s="1">
        <v>3465000</v>
      </c>
      <c r="AB3165" s="1" t="s">
        <v>2550</v>
      </c>
      <c r="AC3165" s="5">
        <v>44196</v>
      </c>
      <c r="AF3165" s="1">
        <v>10069</v>
      </c>
      <c r="AJ3165" s="1">
        <v>2019</v>
      </c>
      <c r="AL3165" s="1">
        <v>329</v>
      </c>
    </row>
    <row r="3166" spans="1:38" x14ac:dyDescent="0.2">
      <c r="A3166" s="2" t="str">
        <f>HYPERLINK("https://www.compass.com/listing/400-west-61st-street-unit-32f-manhattan-ny-10069/694699469678492889/","400 W 61st St, Unit 32F")</f>
        <v>400 W 61st St, Unit 32F</v>
      </c>
      <c r="B3166" s="2" t="str">
        <f t="shared" si="477"/>
        <v>2 Waterline Square</v>
      </c>
      <c r="C3166" s="1" t="s">
        <v>47</v>
      </c>
      <c r="D3166" s="1" t="s">
        <v>41</v>
      </c>
      <c r="E3166" s="3">
        <v>5190000</v>
      </c>
      <c r="F3166" s="1">
        <v>2445.8058435438202</v>
      </c>
      <c r="M3166" s="4">
        <v>2122</v>
      </c>
      <c r="Q3166" s="1" t="s">
        <v>42</v>
      </c>
      <c r="S3166" s="1" t="s">
        <v>42</v>
      </c>
      <c r="T3166" s="1" t="s">
        <v>203</v>
      </c>
      <c r="AA3166" s="1">
        <v>5190000</v>
      </c>
      <c r="AB3166" s="1" t="s">
        <v>2551</v>
      </c>
      <c r="AC3166" s="5">
        <v>44181</v>
      </c>
      <c r="AF3166" s="1">
        <v>10069</v>
      </c>
      <c r="AJ3166" s="1">
        <v>2019</v>
      </c>
      <c r="AL3166" s="1">
        <v>329</v>
      </c>
    </row>
    <row r="3167" spans="1:38" x14ac:dyDescent="0.2">
      <c r="A3167" s="2" t="str">
        <f>HYPERLINK("https://www.compass.com/listing/400-west-61st-street-unit-33f-manhattan-ny-10069/700227146662225769/","400 W 61st St, Unit 33F")</f>
        <v>400 W 61st St, Unit 33F</v>
      </c>
      <c r="B3167" s="2" t="str">
        <f t="shared" si="477"/>
        <v>2 Waterline Square</v>
      </c>
      <c r="C3167" s="1" t="s">
        <v>47</v>
      </c>
      <c r="D3167" s="1" t="s">
        <v>41</v>
      </c>
      <c r="E3167" s="3">
        <v>5250700</v>
      </c>
      <c r="F3167" s="1">
        <v>2474.4109330819902</v>
      </c>
      <c r="M3167" s="4">
        <v>2122</v>
      </c>
      <c r="Q3167" s="1" t="s">
        <v>42</v>
      </c>
      <c r="S3167" s="1" t="s">
        <v>42</v>
      </c>
      <c r="T3167" s="1" t="s">
        <v>203</v>
      </c>
      <c r="AA3167" s="1">
        <v>5250700</v>
      </c>
      <c r="AB3167" s="1" t="s">
        <v>2552</v>
      </c>
      <c r="AC3167" s="5">
        <v>44194</v>
      </c>
      <c r="AF3167" s="1">
        <v>10069</v>
      </c>
      <c r="AJ3167" s="1">
        <v>2019</v>
      </c>
      <c r="AL3167" s="1">
        <v>329</v>
      </c>
    </row>
    <row r="3168" spans="1:38" x14ac:dyDescent="0.2">
      <c r="A3168" s="2" t="str">
        <f>HYPERLINK("https://www.compass.com/listing/400-west-61st-street-unit-21m-manhattan-ny-10069/700512564435815945/","400 W 61st St, Unit 21M")</f>
        <v>400 W 61st St, Unit 21M</v>
      </c>
      <c r="B3168" s="2" t="str">
        <f t="shared" si="477"/>
        <v>2 Waterline Square</v>
      </c>
      <c r="C3168" s="1" t="s">
        <v>47</v>
      </c>
      <c r="D3168" s="1" t="s">
        <v>41</v>
      </c>
      <c r="E3168" s="3">
        <v>3663000</v>
      </c>
      <c r="F3168" s="1">
        <v>2392.55388634879</v>
      </c>
      <c r="M3168" s="4">
        <v>1531</v>
      </c>
      <c r="Q3168" s="1" t="s">
        <v>42</v>
      </c>
      <c r="S3168" s="1" t="s">
        <v>42</v>
      </c>
      <c r="T3168" s="1" t="s">
        <v>203</v>
      </c>
      <c r="AA3168" s="1">
        <v>3663000</v>
      </c>
      <c r="AB3168" s="1" t="s">
        <v>2553</v>
      </c>
      <c r="AC3168" s="5">
        <v>44203</v>
      </c>
      <c r="AF3168" s="1">
        <v>10069</v>
      </c>
      <c r="AJ3168" s="1">
        <v>2019</v>
      </c>
      <c r="AL3168" s="1">
        <v>329</v>
      </c>
    </row>
    <row r="3169" spans="1:38" x14ac:dyDescent="0.2">
      <c r="A3169" s="2" t="str">
        <f>HYPERLINK("https://www.compass.com/listing/400-west-61st-street-unit-30a-manhattan-ny-10069/705984356043829985/","400 W 61st St, Unit 30A")</f>
        <v>400 W 61st St, Unit 30A</v>
      </c>
      <c r="B3169" s="2" t="str">
        <f t="shared" si="477"/>
        <v>2 Waterline Square</v>
      </c>
      <c r="C3169" s="1" t="s">
        <v>47</v>
      </c>
      <c r="D3169" s="1" t="s">
        <v>41</v>
      </c>
      <c r="E3169" s="3">
        <v>4086966</v>
      </c>
      <c r="F3169" s="1">
        <v>2748.4640215198301</v>
      </c>
      <c r="M3169" s="4">
        <v>1487</v>
      </c>
      <c r="Q3169" s="1" t="s">
        <v>42</v>
      </c>
      <c r="S3169" s="1" t="s">
        <v>42</v>
      </c>
      <c r="T3169" s="1" t="s">
        <v>203</v>
      </c>
      <c r="AA3169" s="1">
        <v>4086966</v>
      </c>
      <c r="AB3169" s="1" t="s">
        <v>2554</v>
      </c>
      <c r="AC3169" s="5">
        <v>44207</v>
      </c>
      <c r="AF3169" s="1">
        <v>10069</v>
      </c>
      <c r="AJ3169" s="1">
        <v>2019</v>
      </c>
      <c r="AL3169" s="1">
        <v>329</v>
      </c>
    </row>
    <row r="3170" spans="1:38" x14ac:dyDescent="0.2">
      <c r="A3170" s="2" t="str">
        <f>HYPERLINK("https://www.compass.com/listing/400-west-61st-street-unit-21k-manhattan-ny-10069/706353751634910281/","400 W 61st St, Unit 21K")</f>
        <v>400 W 61st St, Unit 21K</v>
      </c>
      <c r="B3170" s="2" t="str">
        <f t="shared" si="477"/>
        <v>2 Waterline Square</v>
      </c>
      <c r="C3170" s="1" t="s">
        <v>47</v>
      </c>
      <c r="D3170" s="1" t="s">
        <v>41</v>
      </c>
      <c r="E3170" s="3">
        <v>1960131</v>
      </c>
      <c r="F3170" s="1">
        <v>2390.4039634146302</v>
      </c>
      <c r="M3170" s="1">
        <v>820</v>
      </c>
      <c r="Q3170" s="1" t="s">
        <v>42</v>
      </c>
      <c r="S3170" s="1" t="s">
        <v>42</v>
      </c>
      <c r="T3170" s="1" t="s">
        <v>203</v>
      </c>
      <c r="AA3170" s="1">
        <v>1960131.25</v>
      </c>
      <c r="AB3170" s="1" t="s">
        <v>2555</v>
      </c>
      <c r="AC3170" s="5">
        <v>44006</v>
      </c>
      <c r="AF3170" s="1">
        <v>10069</v>
      </c>
      <c r="AJ3170" s="1">
        <v>2019</v>
      </c>
      <c r="AL3170" s="1">
        <v>329</v>
      </c>
    </row>
    <row r="3171" spans="1:38" x14ac:dyDescent="0.2">
      <c r="A3171" s="2" t="str">
        <f>HYPERLINK("https://www.compass.com/listing/269-west-87th-street-unit-ph3-manhattan-ny-10024/706354998156658865/","269 W 87th St, Unit PH3")</f>
        <v>269 W 87th St, Unit PH3</v>
      </c>
      <c r="B3171" s="2" t="str">
        <f>HYPERLINK("https://www.compass.com/building/west-end-and-eighty-seven-manhattan-ny/282058755477110005/","West End and Eighty Seven")</f>
        <v>West End and Eighty Seven</v>
      </c>
      <c r="C3171" s="1" t="s">
        <v>47</v>
      </c>
      <c r="D3171" s="1" t="s">
        <v>41</v>
      </c>
      <c r="E3171" s="3">
        <v>5500000</v>
      </c>
      <c r="Q3171" s="1" t="s">
        <v>191</v>
      </c>
      <c r="S3171" s="1" t="s">
        <v>191</v>
      </c>
      <c r="T3171" s="1" t="s">
        <v>203</v>
      </c>
      <c r="AA3171" s="1">
        <v>5500000</v>
      </c>
      <c r="AB3171" s="1" t="s">
        <v>2556</v>
      </c>
      <c r="AC3171" s="5">
        <v>44215</v>
      </c>
      <c r="AF3171" s="1">
        <v>10024</v>
      </c>
      <c r="AI3171" s="1" t="s">
        <v>67</v>
      </c>
      <c r="AJ3171" s="1">
        <v>2018</v>
      </c>
      <c r="AK3171" s="1" t="s">
        <v>46</v>
      </c>
      <c r="AL3171" s="1">
        <v>39</v>
      </c>
    </row>
    <row r="3172" spans="1:38" x14ac:dyDescent="0.2">
      <c r="A3172" s="2" t="str">
        <f>HYPERLINK("https://www.compass.com/listing/346-west-71st-street-unit-6b-manhattan-ny-10023/708480933240782897/","346 W 71st St, Unit 6B")</f>
        <v>346 W 71st St, Unit 6B</v>
      </c>
      <c r="B3172" s="2" t="str">
        <f>HYPERLINK("https://www.compass.com/building/346-w-71st-st-manhattan-ny-10023/293534968154524325/","346 W 71st St")</f>
        <v>346 W 71st St</v>
      </c>
      <c r="C3172" s="1" t="s">
        <v>47</v>
      </c>
      <c r="D3172" s="1" t="s">
        <v>41</v>
      </c>
      <c r="E3172" s="3">
        <v>2825000</v>
      </c>
      <c r="F3172" s="1">
        <v>1652.0467836257301</v>
      </c>
      <c r="M3172" s="4">
        <v>1710</v>
      </c>
      <c r="Q3172" s="1" t="s">
        <v>42</v>
      </c>
      <c r="S3172" s="1" t="s">
        <v>42</v>
      </c>
      <c r="T3172" s="1" t="s">
        <v>203</v>
      </c>
      <c r="AA3172" s="1">
        <v>2825000</v>
      </c>
      <c r="AB3172" s="1" t="s">
        <v>2557</v>
      </c>
      <c r="AC3172" s="5">
        <v>44210</v>
      </c>
      <c r="AF3172" s="1">
        <v>10023</v>
      </c>
      <c r="AJ3172" s="1">
        <v>1900</v>
      </c>
      <c r="AL3172" s="1">
        <v>1</v>
      </c>
    </row>
    <row r="3173" spans="1:38" x14ac:dyDescent="0.2">
      <c r="A3173" s="2" t="str">
        <f>HYPERLINK("https://www.compass.com/listing/400-west-61st-street-unit-22g-manhattan-ny-10069/709189841266382233/","400 W 61st St, Unit 22G")</f>
        <v>400 W 61st St, Unit 22G</v>
      </c>
      <c r="B3173" s="2" t="str">
        <f t="shared" ref="B3173:B3174" si="478">HYPERLINK("https://www.compass.com/building/2-waterline-square-manhattan-ny/405244161814084533/","2 Waterline Square")</f>
        <v>2 Waterline Square</v>
      </c>
      <c r="C3173" s="1" t="s">
        <v>47</v>
      </c>
      <c r="D3173" s="1" t="s">
        <v>41</v>
      </c>
      <c r="E3173" s="3">
        <v>1710000</v>
      </c>
      <c r="F3173" s="1">
        <v>2043.01075268817</v>
      </c>
      <c r="M3173" s="1">
        <v>837</v>
      </c>
      <c r="Q3173" s="1" t="s">
        <v>42</v>
      </c>
      <c r="S3173" s="1" t="s">
        <v>42</v>
      </c>
      <c r="T3173" s="1" t="s">
        <v>203</v>
      </c>
      <c r="AA3173" s="1">
        <v>1710000</v>
      </c>
      <c r="AB3173" s="1" t="s">
        <v>2558</v>
      </c>
      <c r="AC3173" s="5">
        <v>44204</v>
      </c>
      <c r="AF3173" s="1">
        <v>10069</v>
      </c>
      <c r="AJ3173" s="1">
        <v>2019</v>
      </c>
      <c r="AL3173" s="1">
        <v>329</v>
      </c>
    </row>
    <row r="3174" spans="1:38" x14ac:dyDescent="0.2">
      <c r="A3174" s="2" t="str">
        <f>HYPERLINK("https://www.compass.com/listing/400-west-61st-street-unit-28j-manhattan-ny-10069/709189899801851297/","400 W 61st St, Unit 28J")</f>
        <v>400 W 61st St, Unit 28J</v>
      </c>
      <c r="B3174" s="2" t="str">
        <f t="shared" si="478"/>
        <v>2 Waterline Square</v>
      </c>
      <c r="C3174" s="1" t="s">
        <v>47</v>
      </c>
      <c r="D3174" s="1" t="s">
        <v>41</v>
      </c>
      <c r="E3174" s="3">
        <v>3752251</v>
      </c>
      <c r="F3174" s="1">
        <v>2713.1245480838702</v>
      </c>
      <c r="M3174" s="4">
        <v>1383</v>
      </c>
      <c r="Q3174" s="1" t="s">
        <v>42</v>
      </c>
      <c r="S3174" s="1" t="s">
        <v>42</v>
      </c>
      <c r="T3174" s="1" t="s">
        <v>203</v>
      </c>
      <c r="AA3174" s="1">
        <v>3752251.25</v>
      </c>
      <c r="AB3174" s="1" t="s">
        <v>2559</v>
      </c>
      <c r="AC3174" s="5">
        <v>44187</v>
      </c>
      <c r="AF3174" s="1">
        <v>10069</v>
      </c>
      <c r="AJ3174" s="1">
        <v>2019</v>
      </c>
      <c r="AL3174" s="1">
        <v>329</v>
      </c>
    </row>
    <row r="3175" spans="1:38" x14ac:dyDescent="0.2">
      <c r="A3175" s="2" t="str">
        <f>HYPERLINK("https://www.compass.com/listing/175-west-95th-street-unit-28f-manhattan-ny-10025/70957818848489313/","175 W 95th St, Unit 28F")</f>
        <v>175 W 95th St, Unit 28F</v>
      </c>
      <c r="B3175" s="2" t="str">
        <f t="shared" ref="B3175:B3180" si="479">HYPERLINK("https://www.compass.com/building/175-w-95th-manhattan-ny/292876785429866517/","175 W 95th")</f>
        <v>175 W 95th</v>
      </c>
      <c r="C3175" s="1" t="s">
        <v>47</v>
      </c>
      <c r="D3175" s="1" t="s">
        <v>41</v>
      </c>
      <c r="E3175" s="3">
        <v>1664839</v>
      </c>
      <c r="F3175" s="1">
        <v>1754.3084826132699</v>
      </c>
      <c r="H3175" s="1">
        <v>2</v>
      </c>
      <c r="J3175" s="1">
        <v>2</v>
      </c>
      <c r="M3175" s="1">
        <v>949</v>
      </c>
      <c r="N3175" s="1">
        <v>1111</v>
      </c>
      <c r="O3175" s="1">
        <v>1563</v>
      </c>
      <c r="P3175" s="1">
        <v>452</v>
      </c>
      <c r="Q3175" s="1" t="s">
        <v>42</v>
      </c>
      <c r="S3175" s="1" t="s">
        <v>42</v>
      </c>
      <c r="T3175" s="1" t="s">
        <v>203</v>
      </c>
      <c r="AA3175" s="1">
        <v>1664838.75</v>
      </c>
      <c r="AB3175" s="1" t="s">
        <v>2560</v>
      </c>
      <c r="AC3175" s="5">
        <v>42313</v>
      </c>
      <c r="AF3175" s="1">
        <v>10025</v>
      </c>
      <c r="AI3175" s="1" t="s">
        <v>52</v>
      </c>
      <c r="AJ3175" s="1">
        <v>1971</v>
      </c>
      <c r="AK3175" s="1" t="s">
        <v>50</v>
      </c>
      <c r="AL3175" s="1">
        <v>226</v>
      </c>
    </row>
    <row r="3176" spans="1:38" x14ac:dyDescent="0.2">
      <c r="A3176" s="2" t="str">
        <f>HYPERLINK("https://www.compass.com/listing/175-west-95th-street-unit-9g-manhattan-ny-10025/70957825576143425/","175 W 95th St, Unit 9G")</f>
        <v>175 W 95th St, Unit 9G</v>
      </c>
      <c r="B3176" s="2" t="str">
        <f t="shared" si="479"/>
        <v>175 W 95th</v>
      </c>
      <c r="C3176" s="1" t="s">
        <v>47</v>
      </c>
      <c r="D3176" s="1" t="s">
        <v>41</v>
      </c>
      <c r="E3176" s="3">
        <v>1400094</v>
      </c>
      <c r="F3176" s="1">
        <v>1455.3989085239</v>
      </c>
      <c r="H3176" s="1">
        <v>2</v>
      </c>
      <c r="J3176" s="1">
        <v>1</v>
      </c>
      <c r="M3176" s="1">
        <v>962</v>
      </c>
      <c r="N3176" s="1">
        <v>1027</v>
      </c>
      <c r="O3176" s="1">
        <v>1445</v>
      </c>
      <c r="P3176" s="1">
        <v>418</v>
      </c>
      <c r="Q3176" s="1" t="s">
        <v>42</v>
      </c>
      <c r="S3176" s="1" t="s">
        <v>42</v>
      </c>
      <c r="T3176" s="1" t="s">
        <v>203</v>
      </c>
      <c r="AA3176" s="1">
        <v>1400093.75</v>
      </c>
      <c r="AB3176" s="1" t="s">
        <v>2561</v>
      </c>
      <c r="AC3176" s="5">
        <v>42340</v>
      </c>
      <c r="AF3176" s="1">
        <v>10025</v>
      </c>
      <c r="AI3176" s="1" t="s">
        <v>52</v>
      </c>
      <c r="AJ3176" s="1">
        <v>1971</v>
      </c>
      <c r="AK3176" s="1" t="s">
        <v>50</v>
      </c>
      <c r="AL3176" s="1">
        <v>226</v>
      </c>
    </row>
    <row r="3177" spans="1:38" x14ac:dyDescent="0.2">
      <c r="A3177" s="2" t="str">
        <f>HYPERLINK("https://www.compass.com/listing/175-west-95th-street-unit-16j-manhattan-ny-10025/70957826574387873/","175 W 95th St, Unit 16J")</f>
        <v>175 W 95th St, Unit 16J</v>
      </c>
      <c r="B3177" s="2" t="str">
        <f t="shared" si="479"/>
        <v>175 W 95th</v>
      </c>
      <c r="C3177" s="1" t="s">
        <v>47</v>
      </c>
      <c r="D3177" s="1" t="s">
        <v>41</v>
      </c>
      <c r="E3177" s="3">
        <v>748414</v>
      </c>
      <c r="F3177" s="1">
        <v>1461.74560546875</v>
      </c>
      <c r="H3177" s="1">
        <v>1</v>
      </c>
      <c r="J3177" s="1">
        <v>1</v>
      </c>
      <c r="M3177" s="1">
        <v>512</v>
      </c>
      <c r="N3177" s="1">
        <v>223</v>
      </c>
      <c r="O3177" s="1">
        <v>771</v>
      </c>
      <c r="P3177" s="1">
        <v>548</v>
      </c>
      <c r="Q3177" s="1" t="s">
        <v>42</v>
      </c>
      <c r="S3177" s="1" t="s">
        <v>42</v>
      </c>
      <c r="T3177" s="1" t="s">
        <v>203</v>
      </c>
      <c r="AA3177" s="1">
        <v>748413.75</v>
      </c>
      <c r="AB3177" s="1" t="s">
        <v>2562</v>
      </c>
      <c r="AC3177" s="5">
        <v>42375</v>
      </c>
      <c r="AF3177" s="1">
        <v>10025</v>
      </c>
      <c r="AI3177" s="1" t="s">
        <v>52</v>
      </c>
      <c r="AJ3177" s="1">
        <v>1971</v>
      </c>
      <c r="AK3177" s="1" t="s">
        <v>50</v>
      </c>
      <c r="AL3177" s="1">
        <v>226</v>
      </c>
    </row>
    <row r="3178" spans="1:38" x14ac:dyDescent="0.2">
      <c r="A3178" s="2" t="str">
        <f>HYPERLINK("https://www.compass.com/listing/175-west-95th-street-unit-17g-manhattan-ny-10025/70957826851211969/","175 W 95th St, Unit 17G")</f>
        <v>175 W 95th St, Unit 17G</v>
      </c>
      <c r="B3178" s="2" t="str">
        <f t="shared" si="479"/>
        <v>175 W 95th</v>
      </c>
      <c r="C3178" s="1" t="s">
        <v>47</v>
      </c>
      <c r="D3178" s="1" t="s">
        <v>41</v>
      </c>
      <c r="E3178" s="3">
        <v>1445915</v>
      </c>
      <c r="F3178" s="1">
        <v>1503.0301455301401</v>
      </c>
      <c r="H3178" s="1">
        <v>2</v>
      </c>
      <c r="J3178" s="1">
        <v>2</v>
      </c>
      <c r="M3178" s="1">
        <v>962</v>
      </c>
      <c r="N3178" s="1">
        <v>1064</v>
      </c>
      <c r="O3178" s="1">
        <v>1497</v>
      </c>
      <c r="P3178" s="1">
        <v>433</v>
      </c>
      <c r="Q3178" s="1" t="s">
        <v>42</v>
      </c>
      <c r="S3178" s="1" t="s">
        <v>42</v>
      </c>
      <c r="T3178" s="1" t="s">
        <v>203</v>
      </c>
      <c r="AA3178" s="1">
        <v>1445915</v>
      </c>
      <c r="AB3178" s="1" t="s">
        <v>2563</v>
      </c>
      <c r="AC3178" s="5">
        <v>42311</v>
      </c>
      <c r="AF3178" s="1">
        <v>10025</v>
      </c>
      <c r="AI3178" s="1" t="s">
        <v>52</v>
      </c>
      <c r="AJ3178" s="1">
        <v>1971</v>
      </c>
      <c r="AK3178" s="1" t="s">
        <v>50</v>
      </c>
      <c r="AL3178" s="1">
        <v>226</v>
      </c>
    </row>
    <row r="3179" spans="1:38" x14ac:dyDescent="0.2">
      <c r="A3179" s="2" t="str">
        <f>HYPERLINK("https://www.compass.com/listing/175-west-95th-street-unit-24h-manhattan-ny-10025/70957828545786177/","175 W 95th St, Unit 24H")</f>
        <v>175 W 95th St, Unit 24H</v>
      </c>
      <c r="B3179" s="2" t="str">
        <f t="shared" si="479"/>
        <v>175 W 95th</v>
      </c>
      <c r="C3179" s="1" t="s">
        <v>47</v>
      </c>
      <c r="D3179" s="1" t="s">
        <v>41</v>
      </c>
      <c r="E3179" s="3">
        <v>738231</v>
      </c>
      <c r="F3179" s="1">
        <v>1464.7445436507901</v>
      </c>
      <c r="H3179" s="1" t="s">
        <v>77</v>
      </c>
      <c r="J3179" s="1">
        <v>1</v>
      </c>
      <c r="M3179" s="1">
        <v>504</v>
      </c>
      <c r="N3179" s="1">
        <v>591</v>
      </c>
      <c r="O3179" s="1">
        <v>832</v>
      </c>
      <c r="P3179" s="1">
        <v>241</v>
      </c>
      <c r="Q3179" s="1" t="s">
        <v>42</v>
      </c>
      <c r="S3179" s="1" t="s">
        <v>42</v>
      </c>
      <c r="T3179" s="1" t="s">
        <v>203</v>
      </c>
      <c r="AA3179" s="1">
        <v>738231.25</v>
      </c>
      <c r="AB3179" s="1" t="s">
        <v>2564</v>
      </c>
      <c r="AC3179" s="5">
        <v>42324</v>
      </c>
      <c r="AF3179" s="1">
        <v>10025</v>
      </c>
      <c r="AI3179" s="1" t="s">
        <v>52</v>
      </c>
      <c r="AJ3179" s="1">
        <v>1971</v>
      </c>
      <c r="AK3179" s="1" t="s">
        <v>50</v>
      </c>
      <c r="AL3179" s="1">
        <v>226</v>
      </c>
    </row>
    <row r="3180" spans="1:38" x14ac:dyDescent="0.2">
      <c r="A3180" s="2" t="str">
        <f>HYPERLINK("https://www.compass.com/listing/175-west-95th-street-unit-21c-manhattan-ny-10025/70957832026993873/","175 W 95th St, Unit 21C")</f>
        <v>175 W 95th St, Unit 21C</v>
      </c>
      <c r="B3180" s="2" t="str">
        <f t="shared" si="479"/>
        <v>175 W 95th</v>
      </c>
      <c r="C3180" s="1" t="s">
        <v>47</v>
      </c>
      <c r="D3180" s="1" t="s">
        <v>41</v>
      </c>
      <c r="E3180" s="3">
        <v>2056865</v>
      </c>
      <c r="F3180" s="1">
        <v>1641.5522745410999</v>
      </c>
      <c r="H3180" s="1">
        <v>3</v>
      </c>
      <c r="J3180" s="1">
        <v>2</v>
      </c>
      <c r="M3180" s="4">
        <v>1253</v>
      </c>
      <c r="N3180" s="1">
        <v>1402</v>
      </c>
      <c r="O3180" s="1">
        <v>1973</v>
      </c>
      <c r="P3180" s="1">
        <v>571</v>
      </c>
      <c r="Q3180" s="1" t="s">
        <v>42</v>
      </c>
      <c r="S3180" s="1" t="s">
        <v>42</v>
      </c>
      <c r="T3180" s="1" t="s">
        <v>203</v>
      </c>
      <c r="AA3180" s="1">
        <v>2056865</v>
      </c>
      <c r="AB3180" s="1" t="s">
        <v>2565</v>
      </c>
      <c r="AC3180" s="5">
        <v>42328</v>
      </c>
      <c r="AF3180" s="1">
        <v>10025</v>
      </c>
      <c r="AI3180" s="1" t="s">
        <v>52</v>
      </c>
      <c r="AJ3180" s="1">
        <v>1971</v>
      </c>
      <c r="AK3180" s="1" t="s">
        <v>50</v>
      </c>
      <c r="AL3180" s="1">
        <v>226</v>
      </c>
    </row>
    <row r="3181" spans="1:38" x14ac:dyDescent="0.2">
      <c r="A3181" s="2" t="str">
        <f>HYPERLINK("https://www.compass.com/listing/400-west-61st-street-unit-29e-manhattan-ny-10069/710647429203237081/","400 W 61st St, Unit 29E")</f>
        <v>400 W 61st St, Unit 29E</v>
      </c>
      <c r="B3181" s="2" t="str">
        <f>HYPERLINK("https://www.compass.com/building/2-waterline-square-manhattan-ny/405244161814084533/","2 Waterline Square")</f>
        <v>2 Waterline Square</v>
      </c>
      <c r="C3181" s="1" t="s">
        <v>47</v>
      </c>
      <c r="D3181" s="1" t="s">
        <v>41</v>
      </c>
      <c r="E3181" s="3">
        <v>2780000</v>
      </c>
      <c r="F3181" s="1">
        <v>2320.53422370617</v>
      </c>
      <c r="M3181" s="4">
        <v>1198</v>
      </c>
      <c r="Q3181" s="1" t="s">
        <v>42</v>
      </c>
      <c r="S3181" s="1" t="s">
        <v>42</v>
      </c>
      <c r="T3181" s="1" t="s">
        <v>203</v>
      </c>
      <c r="AA3181" s="1">
        <v>2780000</v>
      </c>
      <c r="AB3181" s="1" t="s">
        <v>2566</v>
      </c>
      <c r="AC3181" s="5">
        <v>44207</v>
      </c>
      <c r="AF3181" s="1">
        <v>10069</v>
      </c>
      <c r="AJ3181" s="1">
        <v>2019</v>
      </c>
      <c r="AL3181" s="1">
        <v>329</v>
      </c>
    </row>
    <row r="3182" spans="1:38" x14ac:dyDescent="0.2">
      <c r="A3182" s="2" t="str">
        <f>HYPERLINK("https://www.compass.com/listing/25-park-row-unit-39b-manhattan-ny-10038/713533720886761137/","25 Park Row, Unit 39B")</f>
        <v>25 Park Row, Unit 39B</v>
      </c>
      <c r="B3182" s="2" t="str">
        <f t="shared" ref="B3182:B3183" si="480">HYPERLINK("https://www.compass.com/building/25-park-row-manhattan-ny-10038/292920743539264837/","25 Park Row")</f>
        <v>25 Park Row</v>
      </c>
      <c r="C3182" s="1" t="s">
        <v>155</v>
      </c>
      <c r="D3182" s="1" t="s">
        <v>41</v>
      </c>
      <c r="E3182" s="3">
        <v>5590000</v>
      </c>
      <c r="F3182" s="1">
        <v>2556.0128029263801</v>
      </c>
      <c r="M3182" s="4">
        <v>2187</v>
      </c>
      <c r="Q3182" s="1" t="s">
        <v>42</v>
      </c>
      <c r="S3182" s="1" t="s">
        <v>42</v>
      </c>
      <c r="T3182" s="1" t="s">
        <v>203</v>
      </c>
      <c r="AA3182" s="1">
        <v>5590000</v>
      </c>
      <c r="AB3182" s="1" t="s">
        <v>2567</v>
      </c>
      <c r="AC3182" s="5">
        <v>44216</v>
      </c>
      <c r="AF3182" s="1">
        <v>10038</v>
      </c>
      <c r="AI3182" s="1" t="s">
        <v>58</v>
      </c>
      <c r="AJ3182" s="1">
        <v>2019</v>
      </c>
      <c r="AK3182" s="1" t="s">
        <v>55</v>
      </c>
      <c r="AL3182" s="1">
        <v>110</v>
      </c>
    </row>
    <row r="3183" spans="1:38" x14ac:dyDescent="0.2">
      <c r="A3183" s="2" t="str">
        <f>HYPERLINK("https://www.compass.com/listing/25-park-row-unit-40b-manhattan-ny-10038/714258366191914337/","25 Park Row, Unit 40B")</f>
        <v>25 Park Row, Unit 40B</v>
      </c>
      <c r="B3183" s="2" t="str">
        <f t="shared" si="480"/>
        <v>25 Park Row</v>
      </c>
      <c r="C3183" s="1" t="s">
        <v>155</v>
      </c>
      <c r="D3183" s="1" t="s">
        <v>41</v>
      </c>
      <c r="E3183" s="3">
        <v>5653001</v>
      </c>
      <c r="F3183" s="1">
        <v>2584.81995884773</v>
      </c>
      <c r="M3183" s="4">
        <v>2187</v>
      </c>
      <c r="Q3183" s="1" t="s">
        <v>42</v>
      </c>
      <c r="S3183" s="1" t="s">
        <v>42</v>
      </c>
      <c r="T3183" s="1" t="s">
        <v>203</v>
      </c>
      <c r="AA3183" s="1">
        <v>5653001.25</v>
      </c>
      <c r="AB3183" s="1" t="s">
        <v>2568</v>
      </c>
      <c r="AC3183" s="5">
        <v>44230</v>
      </c>
      <c r="AF3183" s="1">
        <v>10038</v>
      </c>
      <c r="AI3183" s="1" t="s">
        <v>58</v>
      </c>
      <c r="AJ3183" s="1">
        <v>2019</v>
      </c>
      <c r="AK3183" s="1" t="s">
        <v>55</v>
      </c>
      <c r="AL3183" s="1">
        <v>110</v>
      </c>
    </row>
    <row r="3184" spans="1:38" x14ac:dyDescent="0.2">
      <c r="A3184" s="2" t="str">
        <f>HYPERLINK("https://www.compass.com/listing/400-west-61st-street-unit-22c-manhattan-ny-10069/714265676486202025/","400 W 61st St, Unit 22C")</f>
        <v>400 W 61st St, Unit 22C</v>
      </c>
      <c r="B3184" s="2" t="str">
        <f>HYPERLINK("https://www.compass.com/building/2-waterline-square-manhattan-ny/405244161814084533/","2 Waterline Square")</f>
        <v>2 Waterline Square</v>
      </c>
      <c r="C3184" s="1" t="s">
        <v>47</v>
      </c>
      <c r="D3184" s="1" t="s">
        <v>41</v>
      </c>
      <c r="E3184" s="3">
        <v>2155000</v>
      </c>
      <c r="F3184" s="1">
        <v>2233.16062176165</v>
      </c>
      <c r="M3184" s="1">
        <v>965</v>
      </c>
      <c r="Q3184" s="1" t="s">
        <v>42</v>
      </c>
      <c r="S3184" s="1" t="s">
        <v>42</v>
      </c>
      <c r="T3184" s="1" t="s">
        <v>203</v>
      </c>
      <c r="AA3184" s="1">
        <v>2155000</v>
      </c>
      <c r="AB3184" s="1" t="s">
        <v>2569</v>
      </c>
      <c r="AC3184" s="5">
        <v>44218</v>
      </c>
      <c r="AF3184" s="1">
        <v>10069</v>
      </c>
      <c r="AJ3184" s="1">
        <v>2019</v>
      </c>
      <c r="AL3184" s="1">
        <v>329</v>
      </c>
    </row>
    <row r="3185" spans="1:38" x14ac:dyDescent="0.2">
      <c r="A3185" s="2" t="str">
        <f>HYPERLINK("https://www.compass.com/listing/139-west-126th-street-unit-gar-b-manhattan-ny-10027/719368338186240289/","139 W 126th St, Unit GAR B")</f>
        <v>139 W 126th St, Unit GAR B</v>
      </c>
      <c r="B3185" s="2" t="str">
        <f>HYPERLINK("https://www.compass.com/building/139-w-126th-st-manhattan-ny-10027/281978594853484453/","139 W 126th St")</f>
        <v>139 W 126th St</v>
      </c>
      <c r="C3185" s="1" t="s">
        <v>145</v>
      </c>
      <c r="D3185" s="1" t="s">
        <v>41</v>
      </c>
      <c r="E3185" s="3">
        <v>1485000</v>
      </c>
      <c r="F3185" s="1">
        <v>1066.8103448275799</v>
      </c>
      <c r="M3185" s="4">
        <v>1392</v>
      </c>
      <c r="Q3185" s="1" t="s">
        <v>42</v>
      </c>
      <c r="S3185" s="1" t="s">
        <v>42</v>
      </c>
      <c r="T3185" s="1" t="s">
        <v>203</v>
      </c>
      <c r="AA3185" s="1">
        <v>1485000</v>
      </c>
      <c r="AB3185" s="1" t="s">
        <v>2570</v>
      </c>
      <c r="AC3185" s="5">
        <v>44229</v>
      </c>
      <c r="AF3185" s="1">
        <v>10027</v>
      </c>
      <c r="AI3185" s="1" t="s">
        <v>52</v>
      </c>
      <c r="AJ3185" s="1">
        <v>1910</v>
      </c>
      <c r="AL3185" s="1">
        <v>4</v>
      </c>
    </row>
    <row r="3186" spans="1:38" x14ac:dyDescent="0.2">
      <c r="A3186" s="2" t="str">
        <f>HYPERLINK("https://www.compass.com/listing/25-park-row-unit-28b-manhattan-ny-10038/724642419388454345/","25 Park Row, Unit 28B")</f>
        <v>25 Park Row, Unit 28B</v>
      </c>
      <c r="B3186" s="2" t="str">
        <f>HYPERLINK("https://www.compass.com/building/25-park-row-manhattan-ny-10038/292920743539264837/","25 Park Row")</f>
        <v>25 Park Row</v>
      </c>
      <c r="C3186" s="1" t="s">
        <v>155</v>
      </c>
      <c r="D3186" s="1" t="s">
        <v>41</v>
      </c>
      <c r="E3186" s="3">
        <v>2270000</v>
      </c>
      <c r="F3186" s="1">
        <v>2032.2291853178101</v>
      </c>
      <c r="M3186" s="4">
        <v>1117</v>
      </c>
      <c r="Q3186" s="1" t="s">
        <v>42</v>
      </c>
      <c r="S3186" s="1" t="s">
        <v>42</v>
      </c>
      <c r="T3186" s="1" t="s">
        <v>203</v>
      </c>
      <c r="AA3186" s="1">
        <v>2270000</v>
      </c>
      <c r="AB3186" s="1" t="s">
        <v>2571</v>
      </c>
      <c r="AC3186" s="5">
        <v>44053</v>
      </c>
      <c r="AF3186" s="1">
        <v>10038</v>
      </c>
      <c r="AI3186" s="1" t="s">
        <v>58</v>
      </c>
      <c r="AJ3186" s="1">
        <v>2019</v>
      </c>
      <c r="AK3186" s="1" t="s">
        <v>55</v>
      </c>
      <c r="AL3186" s="1">
        <v>110</v>
      </c>
    </row>
    <row r="3187" spans="1:38" x14ac:dyDescent="0.2">
      <c r="A3187" s="2" t="str">
        <f>HYPERLINK("https://www.compass.com/listing/400-west-61st-street-unit-24a-manhattan-ny-10069/726586687028790513/","400 W 61st St, Unit 24A")</f>
        <v>400 W 61st St, Unit 24A</v>
      </c>
      <c r="B3187" s="2" t="str">
        <f t="shared" ref="B3187:B3188" si="481">HYPERLINK("https://www.compass.com/building/2-waterline-square-manhattan-ny/405244161814084533/","2 Waterline Square")</f>
        <v>2 Waterline Square</v>
      </c>
      <c r="C3187" s="1" t="s">
        <v>47</v>
      </c>
      <c r="D3187" s="1" t="s">
        <v>41</v>
      </c>
      <c r="E3187" s="3">
        <v>3834000</v>
      </c>
      <c r="F3187" s="1">
        <v>2578.3456624075302</v>
      </c>
      <c r="M3187" s="4">
        <v>1487</v>
      </c>
      <c r="Q3187" s="1" t="s">
        <v>42</v>
      </c>
      <c r="S3187" s="1" t="s">
        <v>42</v>
      </c>
      <c r="T3187" s="1" t="s">
        <v>203</v>
      </c>
      <c r="AA3187" s="1">
        <v>3834000</v>
      </c>
      <c r="AB3187" s="1" t="s">
        <v>2572</v>
      </c>
      <c r="AC3187" s="5">
        <v>44225</v>
      </c>
      <c r="AF3187" s="1">
        <v>10069</v>
      </c>
      <c r="AJ3187" s="1">
        <v>2019</v>
      </c>
      <c r="AL3187" s="1">
        <v>329</v>
      </c>
    </row>
    <row r="3188" spans="1:38" x14ac:dyDescent="0.2">
      <c r="A3188" s="2" t="str">
        <f>HYPERLINK("https://www.compass.com/listing/400-west-61st-street-unit-27a-manhattan-ny-10069/730948465746477449/","400 W 61st St, Unit 27A")</f>
        <v>400 W 61st St, Unit 27A</v>
      </c>
      <c r="B3188" s="2" t="str">
        <f t="shared" si="481"/>
        <v>2 Waterline Square</v>
      </c>
      <c r="C3188" s="1" t="s">
        <v>47</v>
      </c>
      <c r="D3188" s="1" t="s">
        <v>41</v>
      </c>
      <c r="E3188" s="3">
        <v>4038000</v>
      </c>
      <c r="F3188" s="1">
        <v>2715.5346334902401</v>
      </c>
      <c r="M3188" s="4">
        <v>1487</v>
      </c>
      <c r="Q3188" s="1" t="s">
        <v>42</v>
      </c>
      <c r="S3188" s="1" t="s">
        <v>42</v>
      </c>
      <c r="T3188" s="1" t="s">
        <v>203</v>
      </c>
      <c r="AA3188" s="1">
        <v>4038000</v>
      </c>
      <c r="AB3188" s="1" t="s">
        <v>2573</v>
      </c>
      <c r="AC3188" s="5">
        <v>44246</v>
      </c>
      <c r="AF3188" s="1">
        <v>10069</v>
      </c>
      <c r="AJ3188" s="1">
        <v>2019</v>
      </c>
      <c r="AL3188" s="1">
        <v>329</v>
      </c>
    </row>
    <row r="3189" spans="1:38" x14ac:dyDescent="0.2">
      <c r="A3189" s="2" t="str">
        <f>HYPERLINK("https://www.compass.com/listing/455-west-19th-street-unit-4n-manhattan-ny-10011/746104931282734977/","455 W 19th St, Unit 4N")</f>
        <v>455 W 19th St, Unit 4N</v>
      </c>
      <c r="B3189" s="2" t="str">
        <f t="shared" ref="B3189:B3192" si="482">HYPERLINK("https://www.compass.com/building/abi-chelsea-manhattan-ny/281910792461248565/","Abi Chelsea")</f>
        <v>Abi Chelsea</v>
      </c>
      <c r="C3189" s="1" t="s">
        <v>62</v>
      </c>
      <c r="D3189" s="1" t="s">
        <v>41</v>
      </c>
      <c r="E3189" s="3">
        <v>3674700</v>
      </c>
      <c r="Q3189" s="1" t="s">
        <v>42</v>
      </c>
      <c r="S3189" s="1" t="s">
        <v>42</v>
      </c>
      <c r="T3189" s="1" t="s">
        <v>203</v>
      </c>
      <c r="AA3189" s="1">
        <v>3674700</v>
      </c>
      <c r="AB3189" s="1" t="s">
        <v>2574</v>
      </c>
      <c r="AC3189" s="5">
        <v>44258</v>
      </c>
      <c r="AF3189" s="1">
        <v>10011</v>
      </c>
      <c r="AI3189" s="1" t="s">
        <v>78</v>
      </c>
      <c r="AJ3189" s="1">
        <v>2019</v>
      </c>
      <c r="AK3189" s="1" t="s">
        <v>50</v>
      </c>
      <c r="AL3189" s="1">
        <v>11</v>
      </c>
    </row>
    <row r="3190" spans="1:38" x14ac:dyDescent="0.2">
      <c r="A3190" s="2" t="str">
        <f>HYPERLINK("https://www.compass.com/listing/455-west-19th-street-unit-7-manhattan-ny-10011/746104941013609049/","455 W 19th St, Unit 7")</f>
        <v>455 W 19th St, Unit 7</v>
      </c>
      <c r="B3190" s="2" t="str">
        <f t="shared" si="482"/>
        <v>Abi Chelsea</v>
      </c>
      <c r="C3190" s="1" t="s">
        <v>62</v>
      </c>
      <c r="D3190" s="1" t="s">
        <v>41</v>
      </c>
      <c r="E3190" s="3">
        <v>7349400</v>
      </c>
      <c r="Q3190" s="1" t="s">
        <v>42</v>
      </c>
      <c r="S3190" s="1" t="s">
        <v>42</v>
      </c>
      <c r="T3190" s="1" t="s">
        <v>203</v>
      </c>
      <c r="AA3190" s="1">
        <v>7349400</v>
      </c>
      <c r="AB3190" s="1" t="s">
        <v>2575</v>
      </c>
      <c r="AC3190" s="5">
        <v>44258</v>
      </c>
      <c r="AF3190" s="1">
        <v>10011</v>
      </c>
      <c r="AI3190" s="1" t="s">
        <v>78</v>
      </c>
      <c r="AJ3190" s="1">
        <v>2019</v>
      </c>
      <c r="AK3190" s="1" t="s">
        <v>50</v>
      </c>
      <c r="AL3190" s="1">
        <v>11</v>
      </c>
    </row>
    <row r="3191" spans="1:38" x14ac:dyDescent="0.2">
      <c r="A3191" s="2" t="str">
        <f>HYPERLINK("https://www.compass.com/listing/455-west-19th-street-unit-6s-manhattan-ny-10011/746105111872508817/","455 W 19th St, Unit 6S")</f>
        <v>455 W 19th St, Unit 6S</v>
      </c>
      <c r="B3191" s="2" t="str">
        <f t="shared" si="482"/>
        <v>Abi Chelsea</v>
      </c>
      <c r="C3191" s="1" t="s">
        <v>62</v>
      </c>
      <c r="D3191" s="1" t="s">
        <v>41</v>
      </c>
      <c r="E3191" s="3">
        <v>3680825</v>
      </c>
      <c r="Q3191" s="1" t="s">
        <v>42</v>
      </c>
      <c r="S3191" s="1" t="s">
        <v>42</v>
      </c>
      <c r="T3191" s="1" t="s">
        <v>203</v>
      </c>
      <c r="AA3191" s="1">
        <v>3680824.5</v>
      </c>
      <c r="AB3191" s="1" t="s">
        <v>2576</v>
      </c>
      <c r="AC3191" s="5">
        <v>44251</v>
      </c>
      <c r="AF3191" s="1">
        <v>10011</v>
      </c>
      <c r="AI3191" s="1" t="s">
        <v>78</v>
      </c>
      <c r="AJ3191" s="1">
        <v>2019</v>
      </c>
      <c r="AK3191" s="1" t="s">
        <v>50</v>
      </c>
      <c r="AL3191" s="1">
        <v>11</v>
      </c>
    </row>
    <row r="3192" spans="1:38" x14ac:dyDescent="0.2">
      <c r="A3192" s="2" t="str">
        <f>HYPERLINK("https://www.compass.com/listing/455-west-19th-street-unit-6n-manhattan-ny-10011/746105165392009745/","455 W 19th St, Unit 6N")</f>
        <v>455 W 19th St, Unit 6N</v>
      </c>
      <c r="B3192" s="2" t="str">
        <f t="shared" si="482"/>
        <v>Abi Chelsea</v>
      </c>
      <c r="C3192" s="1" t="s">
        <v>62</v>
      </c>
      <c r="D3192" s="1" t="s">
        <v>41</v>
      </c>
      <c r="E3192" s="3">
        <v>3092873</v>
      </c>
      <c r="Q3192" s="1" t="s">
        <v>42</v>
      </c>
      <c r="S3192" s="1" t="s">
        <v>42</v>
      </c>
      <c r="T3192" s="1" t="s">
        <v>203</v>
      </c>
      <c r="AA3192" s="1">
        <v>3092872.5</v>
      </c>
      <c r="AB3192" s="1" t="s">
        <v>2577</v>
      </c>
      <c r="AC3192" s="5">
        <v>44258</v>
      </c>
      <c r="AF3192" s="1">
        <v>10011</v>
      </c>
      <c r="AI3192" s="1" t="s">
        <v>78</v>
      </c>
      <c r="AJ3192" s="1">
        <v>2019</v>
      </c>
      <c r="AK3192" s="1" t="s">
        <v>50</v>
      </c>
      <c r="AL3192" s="1">
        <v>11</v>
      </c>
    </row>
    <row r="3193" spans="1:38" x14ac:dyDescent="0.2">
      <c r="A3193" s="2" t="str">
        <f>HYPERLINK("https://www.compass.com/listing/400-west-61st-street-unit-21b-manhattan-ny-10069/748975031039902705/","400 W 61st St, Unit 21B")</f>
        <v>400 W 61st St, Unit 21B</v>
      </c>
      <c r="B3193" s="2" t="str">
        <f>HYPERLINK("https://www.compass.com/building/2-waterline-square-manhattan-ny/405244161814084533/","2 Waterline Square")</f>
        <v>2 Waterline Square</v>
      </c>
      <c r="C3193" s="1" t="s">
        <v>47</v>
      </c>
      <c r="D3193" s="1" t="s">
        <v>41</v>
      </c>
      <c r="E3193" s="3">
        <v>4061800</v>
      </c>
      <c r="F3193" s="1">
        <v>2335.7101782633699</v>
      </c>
      <c r="M3193" s="4">
        <v>1739</v>
      </c>
      <c r="Q3193" s="1" t="s">
        <v>42</v>
      </c>
      <c r="S3193" s="1" t="s">
        <v>42</v>
      </c>
      <c r="T3193" s="1" t="s">
        <v>203</v>
      </c>
      <c r="AA3193" s="1">
        <v>4061800</v>
      </c>
      <c r="AB3193" s="1" t="s">
        <v>2578</v>
      </c>
      <c r="AC3193" s="5">
        <v>44222</v>
      </c>
      <c r="AF3193" s="1">
        <v>10069</v>
      </c>
      <c r="AJ3193" s="1">
        <v>2019</v>
      </c>
      <c r="AL3193" s="1">
        <v>329</v>
      </c>
    </row>
    <row r="3194" spans="1:38" x14ac:dyDescent="0.2">
      <c r="A3194" s="2" t="str">
        <f>HYPERLINK("https://www.compass.com/listing/535-west-52nd-street-unit-6g-manhattan-ny-10019/750431737702123881/","535 W 52nd St, Unit 6G")</f>
        <v>535 W 52nd St, Unit 6G</v>
      </c>
      <c r="B3194" s="2" t="str">
        <f>HYPERLINK("https://www.compass.com/building/535-w-52nd-st-manhattan-ny/292847931621444293/","535 W 52nd St")</f>
        <v>535 W 52nd St</v>
      </c>
      <c r="C3194" s="1" t="s">
        <v>57</v>
      </c>
      <c r="D3194" s="1" t="s">
        <v>41</v>
      </c>
      <c r="E3194" s="3">
        <v>544500</v>
      </c>
      <c r="Q3194" s="1" t="s">
        <v>191</v>
      </c>
      <c r="S3194" s="1" t="s">
        <v>191</v>
      </c>
      <c r="T3194" s="1" t="s">
        <v>203</v>
      </c>
      <c r="AA3194" s="1">
        <v>544500</v>
      </c>
      <c r="AB3194" s="1" t="s">
        <v>2579</v>
      </c>
      <c r="AC3194" s="5">
        <v>44281</v>
      </c>
      <c r="AF3194" s="1">
        <v>10019</v>
      </c>
      <c r="AJ3194" s="1">
        <v>2014</v>
      </c>
      <c r="AL3194" s="1">
        <v>95</v>
      </c>
    </row>
    <row r="3195" spans="1:38" x14ac:dyDescent="0.2">
      <c r="A3195" s="2" t="str">
        <f>HYPERLINK("https://www.compass.com/listing/400-west-61st-street-unit-31b-manhattan-ny-10069/767103091990971953/","400 W 61st St, Unit 31B")</f>
        <v>400 W 61st St, Unit 31B</v>
      </c>
      <c r="B3195" s="2" t="str">
        <f>HYPERLINK("https://www.compass.com/building/2-waterline-square-manhattan-ny/405244161814084533/","2 Waterline Square")</f>
        <v>2 Waterline Square</v>
      </c>
      <c r="C3195" s="1" t="s">
        <v>47</v>
      </c>
      <c r="D3195" s="1" t="s">
        <v>41</v>
      </c>
      <c r="E3195" s="3">
        <v>6155000</v>
      </c>
      <c r="F3195" s="1">
        <v>2734.3402932030199</v>
      </c>
      <c r="M3195" s="4">
        <v>2251</v>
      </c>
      <c r="Q3195" s="1" t="s">
        <v>42</v>
      </c>
      <c r="S3195" s="1" t="s">
        <v>42</v>
      </c>
      <c r="T3195" s="1" t="s">
        <v>203</v>
      </c>
      <c r="AA3195" s="1">
        <v>6155000</v>
      </c>
      <c r="AB3195" s="1" t="s">
        <v>2580</v>
      </c>
      <c r="AC3195" s="5">
        <v>44299</v>
      </c>
      <c r="AF3195" s="1">
        <v>10069</v>
      </c>
      <c r="AJ3195" s="1">
        <v>2019</v>
      </c>
      <c r="AL3195" s="1">
        <v>329</v>
      </c>
    </row>
    <row r="3196" spans="1:38" x14ac:dyDescent="0.2">
      <c r="A3196" s="2" t="str">
        <f>HYPERLINK("https://www.compass.com/listing/346-west-71st-street-unit-2c-manhattan-ny-10023/770728701429579673/","346 W 71st St, Unit 2C")</f>
        <v>346 W 71st St, Unit 2C</v>
      </c>
      <c r="B3196" s="2" t="str">
        <f>HYPERLINK("https://www.compass.com/building/346-w-71st-st-manhattan-ny-10023/293534968154524325/","346 W 71st St")</f>
        <v>346 W 71st St</v>
      </c>
      <c r="C3196" s="1" t="s">
        <v>47</v>
      </c>
      <c r="D3196" s="1" t="s">
        <v>41</v>
      </c>
      <c r="E3196" s="3">
        <v>1985588</v>
      </c>
      <c r="F3196" s="1">
        <v>1333.5040295500301</v>
      </c>
      <c r="M3196" s="4">
        <v>1489</v>
      </c>
      <c r="Q3196" s="1" t="s">
        <v>42</v>
      </c>
      <c r="S3196" s="1" t="s">
        <v>42</v>
      </c>
      <c r="T3196" s="1" t="s">
        <v>203</v>
      </c>
      <c r="AA3196" s="1">
        <v>1985587.5</v>
      </c>
      <c r="AB3196" s="1" t="s">
        <v>2581</v>
      </c>
      <c r="AC3196" s="5">
        <v>44298</v>
      </c>
      <c r="AF3196" s="1">
        <v>10023</v>
      </c>
      <c r="AJ3196" s="1">
        <v>1900</v>
      </c>
      <c r="AL3196" s="1">
        <v>1</v>
      </c>
    </row>
    <row r="3197" spans="1:38" x14ac:dyDescent="0.2">
      <c r="A3197" s="2" t="str">
        <f>HYPERLINK("https://www.compass.com/listing/400-west-61st-street-unit-29g-manhattan-ny-10069/772184156992625809/","400 W 61st St, Unit 29G")</f>
        <v>400 W 61st St, Unit 29G</v>
      </c>
      <c r="B3197" s="2" t="str">
        <f t="shared" ref="B3197:B3198" si="483">HYPERLINK("https://www.compass.com/building/2-waterline-square-manhattan-ny/405244161814084533/","2 Waterline Square")</f>
        <v>2 Waterline Square</v>
      </c>
      <c r="C3197" s="1" t="s">
        <v>47</v>
      </c>
      <c r="D3197" s="1" t="s">
        <v>41</v>
      </c>
      <c r="E3197" s="3">
        <v>3348060</v>
      </c>
      <c r="F3197" s="1">
        <v>2183.99217221135</v>
      </c>
      <c r="M3197" s="4">
        <v>1533</v>
      </c>
      <c r="Q3197" s="1" t="s">
        <v>42</v>
      </c>
      <c r="S3197" s="1" t="s">
        <v>42</v>
      </c>
      <c r="T3197" s="1" t="s">
        <v>203</v>
      </c>
      <c r="AA3197" s="1">
        <v>3348060</v>
      </c>
      <c r="AB3197" s="1" t="s">
        <v>2582</v>
      </c>
      <c r="AC3197" s="5">
        <v>44295</v>
      </c>
      <c r="AF3197" s="1">
        <v>10069</v>
      </c>
      <c r="AJ3197" s="1">
        <v>2019</v>
      </c>
      <c r="AL3197" s="1">
        <v>329</v>
      </c>
    </row>
    <row r="3198" spans="1:38" x14ac:dyDescent="0.2">
      <c r="A3198" s="2" t="str">
        <f>HYPERLINK("https://www.compass.com/listing/400-west-61st-street-unit-20g-manhattan-ny-10069/772184195777623177/","400 W 61st St, Unit 20G")</f>
        <v>400 W 61st St, Unit 20G</v>
      </c>
      <c r="B3198" s="2" t="str">
        <f t="shared" si="483"/>
        <v>2 Waterline Square</v>
      </c>
      <c r="C3198" s="1" t="s">
        <v>47</v>
      </c>
      <c r="D3198" s="1" t="s">
        <v>41</v>
      </c>
      <c r="E3198" s="3">
        <v>1665600</v>
      </c>
      <c r="F3198" s="1">
        <v>1954.9295774647801</v>
      </c>
      <c r="M3198" s="1">
        <v>852</v>
      </c>
      <c r="Q3198" s="1" t="s">
        <v>42</v>
      </c>
      <c r="S3198" s="1" t="s">
        <v>42</v>
      </c>
      <c r="T3198" s="1" t="s">
        <v>203</v>
      </c>
      <c r="AA3198" s="1">
        <v>1665600</v>
      </c>
      <c r="AB3198" s="1" t="s">
        <v>2583</v>
      </c>
      <c r="AC3198" s="5">
        <v>44307</v>
      </c>
      <c r="AF3198" s="1">
        <v>10069</v>
      </c>
      <c r="AJ3198" s="1">
        <v>2019</v>
      </c>
      <c r="AL3198" s="1">
        <v>329</v>
      </c>
    </row>
    <row r="3199" spans="1:38" x14ac:dyDescent="0.2">
      <c r="A3199" s="2" t="str">
        <f>HYPERLINK("https://www.compass.com/listing/324-east-4th-street-unit-4a-manhattan-ny-10009/772184195852539057/","324 E 4th St, Unit 4A")</f>
        <v>324 E 4th St, Unit 4A</v>
      </c>
      <c r="B3199" s="2" t="str">
        <f>HYPERLINK("https://www.compass.com/building/324-e-4th-st-manhattan-ny-10009/281899594583912869/","324 E 4th St")</f>
        <v>324 E 4th St</v>
      </c>
      <c r="C3199" s="1" t="s">
        <v>88</v>
      </c>
      <c r="D3199" s="1" t="s">
        <v>41</v>
      </c>
      <c r="E3199" s="3">
        <v>775000</v>
      </c>
      <c r="F3199" s="1">
        <v>1280.9917355371899</v>
      </c>
      <c r="M3199" s="1">
        <v>605</v>
      </c>
      <c r="Q3199" s="1" t="s">
        <v>42</v>
      </c>
      <c r="S3199" s="1" t="s">
        <v>42</v>
      </c>
      <c r="T3199" s="1" t="s">
        <v>203</v>
      </c>
      <c r="AA3199" s="1">
        <v>775000</v>
      </c>
      <c r="AB3199" s="1" t="s">
        <v>2584</v>
      </c>
      <c r="AC3199" s="5">
        <v>44301</v>
      </c>
      <c r="AF3199" s="1">
        <v>10009</v>
      </c>
      <c r="AI3199" s="1" t="s">
        <v>73</v>
      </c>
      <c r="AJ3199" s="1">
        <v>1920</v>
      </c>
      <c r="AL3199" s="1">
        <v>111</v>
      </c>
    </row>
    <row r="3200" spans="1:38" x14ac:dyDescent="0.2">
      <c r="A3200" s="2" t="str">
        <f>HYPERLINK("https://www.compass.com/listing/455-west-19th-street-unit-5n-manhattan-ny-10011/775804242608193601/","455 W 19th St, Unit 5N")</f>
        <v>455 W 19th St, Unit 5N</v>
      </c>
      <c r="B3200" s="2" t="str">
        <f t="shared" ref="B3200:B3201" si="484">HYPERLINK("https://www.compass.com/building/abi-chelsea-manhattan-ny/281910792461248565/","Abi Chelsea")</f>
        <v>Abi Chelsea</v>
      </c>
      <c r="C3200" s="1" t="s">
        <v>62</v>
      </c>
      <c r="D3200" s="1" t="s">
        <v>41</v>
      </c>
      <c r="E3200" s="3">
        <v>3196710</v>
      </c>
      <c r="Q3200" s="1" t="s">
        <v>42</v>
      </c>
      <c r="S3200" s="1" t="s">
        <v>42</v>
      </c>
      <c r="T3200" s="1" t="s">
        <v>203</v>
      </c>
      <c r="AA3200" s="1">
        <v>3196710.08</v>
      </c>
      <c r="AB3200" s="1" t="s">
        <v>2585</v>
      </c>
      <c r="AC3200" s="5">
        <v>44300</v>
      </c>
      <c r="AF3200" s="1">
        <v>10011</v>
      </c>
      <c r="AI3200" s="1" t="s">
        <v>78</v>
      </c>
      <c r="AJ3200" s="1">
        <v>2019</v>
      </c>
      <c r="AK3200" s="1" t="s">
        <v>50</v>
      </c>
      <c r="AL3200" s="1">
        <v>11</v>
      </c>
    </row>
    <row r="3201" spans="1:38" x14ac:dyDescent="0.2">
      <c r="A3201" s="2" t="str">
        <f>HYPERLINK("https://www.compass.com/listing/455-west-19th-street-unit-5s-manhattan-ny-10011/775804356659451449/","455 W 19th St, Unit 5S")</f>
        <v>455 W 19th St, Unit 5S</v>
      </c>
      <c r="B3201" s="2" t="str">
        <f t="shared" si="484"/>
        <v>Abi Chelsea</v>
      </c>
      <c r="C3201" s="1" t="s">
        <v>62</v>
      </c>
      <c r="D3201" s="1" t="s">
        <v>41</v>
      </c>
      <c r="E3201" s="3">
        <v>3225060</v>
      </c>
      <c r="Q3201" s="1" t="s">
        <v>42</v>
      </c>
      <c r="S3201" s="1" t="s">
        <v>42</v>
      </c>
      <c r="T3201" s="1" t="s">
        <v>203</v>
      </c>
      <c r="AA3201" s="1">
        <v>3225059.63</v>
      </c>
      <c r="AB3201" s="1" t="s">
        <v>2586</v>
      </c>
      <c r="AC3201" s="5">
        <v>44300</v>
      </c>
      <c r="AF3201" s="1">
        <v>10011</v>
      </c>
      <c r="AI3201" s="1" t="s">
        <v>78</v>
      </c>
      <c r="AJ3201" s="1">
        <v>2019</v>
      </c>
      <c r="AK3201" s="1" t="s">
        <v>50</v>
      </c>
      <c r="AL3201" s="1">
        <v>11</v>
      </c>
    </row>
    <row r="3202" spans="1:38" x14ac:dyDescent="0.2">
      <c r="A3202" s="2" t="str">
        <f>HYPERLINK("https://www.compass.com/listing/1810-3rd-avenue-unit-4d-manhattan-ny-10029/776518480756010873/","1810 3rd Ave, Unit 4D")</f>
        <v>1810 3rd Ave, Unit 4D</v>
      </c>
      <c r="B3202" s="2" t="str">
        <f>HYPERLINK("https://www.compass.com/building/the-art-house-condominiums-manhattan-ny/281989881993998229/","The Art House Condominiums")</f>
        <v>The Art House Condominiums</v>
      </c>
      <c r="C3202" s="1" t="s">
        <v>82</v>
      </c>
      <c r="D3202" s="1" t="s">
        <v>41</v>
      </c>
      <c r="E3202" s="3">
        <v>672500</v>
      </c>
      <c r="F3202" s="1">
        <v>890.72847682119198</v>
      </c>
      <c r="M3202" s="1">
        <v>755</v>
      </c>
      <c r="Q3202" s="1" t="s">
        <v>42</v>
      </c>
      <c r="S3202" s="1" t="s">
        <v>42</v>
      </c>
      <c r="T3202" s="1" t="s">
        <v>203</v>
      </c>
      <c r="AA3202" s="1">
        <v>672500</v>
      </c>
      <c r="AB3202" s="1" t="s">
        <v>2587</v>
      </c>
      <c r="AC3202" s="5">
        <v>44231</v>
      </c>
      <c r="AF3202" s="1">
        <v>10029</v>
      </c>
      <c r="AI3202" s="1" t="s">
        <v>76</v>
      </c>
      <c r="AJ3202" s="1">
        <v>2008</v>
      </c>
      <c r="AK3202" s="1" t="s">
        <v>55</v>
      </c>
      <c r="AL3202" s="1">
        <v>76</v>
      </c>
    </row>
    <row r="3203" spans="1:38" x14ac:dyDescent="0.2">
      <c r="A3203" s="2" t="str">
        <f>HYPERLINK("https://www.compass.com/listing/400-west-61st-street-unit-21e-manhattan-ny-10069/779422613478336873/","400 W 61st St, Unit 21E")</f>
        <v>400 W 61st St, Unit 21E</v>
      </c>
      <c r="B3203" s="2" t="str">
        <f>HYPERLINK("https://www.compass.com/building/2-waterline-square-manhattan-ny/405244161814084533/","2 Waterline Square")</f>
        <v>2 Waterline Square</v>
      </c>
      <c r="C3203" s="1" t="s">
        <v>47</v>
      </c>
      <c r="D3203" s="1" t="s">
        <v>41</v>
      </c>
      <c r="E3203" s="3">
        <v>4353000</v>
      </c>
      <c r="F3203" s="1">
        <v>2157.0862239841399</v>
      </c>
      <c r="M3203" s="4">
        <v>2018</v>
      </c>
      <c r="Q3203" s="1" t="s">
        <v>42</v>
      </c>
      <c r="S3203" s="1" t="s">
        <v>42</v>
      </c>
      <c r="T3203" s="1" t="s">
        <v>203</v>
      </c>
      <c r="AA3203" s="1">
        <v>4353000</v>
      </c>
      <c r="AB3203" s="1" t="s">
        <v>2588</v>
      </c>
      <c r="AC3203" s="5">
        <v>44309</v>
      </c>
      <c r="AF3203" s="1">
        <v>10069</v>
      </c>
      <c r="AJ3203" s="1">
        <v>2019</v>
      </c>
      <c r="AL3203" s="1">
        <v>329</v>
      </c>
    </row>
    <row r="3204" spans="1:38" x14ac:dyDescent="0.2">
      <c r="A3204" s="2" t="str">
        <f>HYPERLINK("https://www.compass.com/listing/535-west-52nd-street-unit-6i-manhattan-ny-10019/781597790632420777/","535 W 52nd St, Unit 6I")</f>
        <v>535 W 52nd St, Unit 6I</v>
      </c>
      <c r="B3204" s="2" t="str">
        <f>HYPERLINK("https://www.compass.com/building/535-w-52nd-st-manhattan-ny/292847931621444293/","535 W 52nd St")</f>
        <v>535 W 52nd St</v>
      </c>
      <c r="C3204" s="1" t="s">
        <v>57</v>
      </c>
      <c r="D3204" s="1" t="s">
        <v>41</v>
      </c>
      <c r="E3204" s="3">
        <v>409200</v>
      </c>
      <c r="Q3204" s="1" t="s">
        <v>191</v>
      </c>
      <c r="S3204" s="1" t="s">
        <v>191</v>
      </c>
      <c r="T3204" s="1" t="s">
        <v>203</v>
      </c>
      <c r="AA3204" s="1">
        <v>409200</v>
      </c>
      <c r="AB3204" s="1" t="s">
        <v>2589</v>
      </c>
      <c r="AC3204" s="5">
        <v>44309</v>
      </c>
      <c r="AF3204" s="1">
        <v>10019</v>
      </c>
      <c r="AJ3204" s="1">
        <v>2014</v>
      </c>
      <c r="AL3204" s="1">
        <v>95</v>
      </c>
    </row>
    <row r="3205" spans="1:38" x14ac:dyDescent="0.2">
      <c r="A3205" s="2" t="str">
        <f>HYPERLINK("https://www.compass.com/listing/340-west-72nd-street-unit-a3a-manhattan-ny-10023/782340721527982249/","340 W 72nd St, Unit A3A")</f>
        <v>340 W 72nd St, Unit A3A</v>
      </c>
      <c r="B3205" s="2" t="str">
        <f t="shared" ref="B3205:B3209" si="485">HYPERLINK("https://www.compass.com/building/the-chatsworth-annex-manhattan-ny/281960253094963669/","The Chatsworth Annex")</f>
        <v>The Chatsworth Annex</v>
      </c>
      <c r="C3205" s="1" t="s">
        <v>47</v>
      </c>
      <c r="D3205" s="1" t="s">
        <v>41</v>
      </c>
      <c r="E3205" s="3">
        <v>2549026</v>
      </c>
      <c r="Q3205" s="1" t="s">
        <v>191</v>
      </c>
      <c r="S3205" s="1" t="s">
        <v>191</v>
      </c>
      <c r="T3205" s="1" t="s">
        <v>203</v>
      </c>
      <c r="AA3205" s="1">
        <v>2549026.2400000002</v>
      </c>
      <c r="AB3205" s="1" t="s">
        <v>2590</v>
      </c>
      <c r="AC3205" s="5">
        <v>44295</v>
      </c>
      <c r="AF3205" s="1">
        <v>10023</v>
      </c>
      <c r="AJ3205" s="1">
        <v>1920</v>
      </c>
      <c r="AL3205" s="1">
        <v>23</v>
      </c>
    </row>
    <row r="3206" spans="1:38" x14ac:dyDescent="0.2">
      <c r="A3206" s="2" t="str">
        <f>HYPERLINK("https://www.compass.com/listing/340-west-72nd-street-unit-a4a-manhattan-ny-10023/782340725365079553/","340 W 72nd St, Unit A4A")</f>
        <v>340 W 72nd St, Unit A4A</v>
      </c>
      <c r="B3206" s="2" t="str">
        <f t="shared" si="485"/>
        <v>The Chatsworth Annex</v>
      </c>
      <c r="C3206" s="1" t="s">
        <v>47</v>
      </c>
      <c r="D3206" s="1" t="s">
        <v>41</v>
      </c>
      <c r="E3206" s="3">
        <v>2549026</v>
      </c>
      <c r="Q3206" s="1" t="s">
        <v>191</v>
      </c>
      <c r="S3206" s="1" t="s">
        <v>191</v>
      </c>
      <c r="T3206" s="1" t="s">
        <v>203</v>
      </c>
      <c r="AA3206" s="1">
        <v>2549026.2400000002</v>
      </c>
      <c r="AB3206" s="1" t="s">
        <v>2591</v>
      </c>
      <c r="AC3206" s="5">
        <v>44295</v>
      </c>
      <c r="AF3206" s="1">
        <v>10023</v>
      </c>
      <c r="AJ3206" s="1">
        <v>1920</v>
      </c>
      <c r="AL3206" s="1">
        <v>23</v>
      </c>
    </row>
    <row r="3207" spans="1:38" x14ac:dyDescent="0.2">
      <c r="A3207" s="2" t="str">
        <f>HYPERLINK("https://www.compass.com/listing/340-west-72nd-street-unit-a6a-manhattan-ny-10023/782340757909232553/","340 W 72nd St, Unit A6A")</f>
        <v>340 W 72nd St, Unit A6A</v>
      </c>
      <c r="B3207" s="2" t="str">
        <f t="shared" si="485"/>
        <v>The Chatsworth Annex</v>
      </c>
      <c r="C3207" s="1" t="s">
        <v>47</v>
      </c>
      <c r="D3207" s="1" t="s">
        <v>41</v>
      </c>
      <c r="E3207" s="3">
        <v>3338596</v>
      </c>
      <c r="Q3207" s="1" t="s">
        <v>191</v>
      </c>
      <c r="S3207" s="1" t="s">
        <v>191</v>
      </c>
      <c r="T3207" s="1" t="s">
        <v>203</v>
      </c>
      <c r="AA3207" s="1">
        <v>3338596.43</v>
      </c>
      <c r="AB3207" s="1" t="s">
        <v>2592</v>
      </c>
      <c r="AC3207" s="5">
        <v>44295</v>
      </c>
      <c r="AF3207" s="1">
        <v>10023</v>
      </c>
      <c r="AJ3207" s="1">
        <v>1920</v>
      </c>
      <c r="AL3207" s="1">
        <v>23</v>
      </c>
    </row>
    <row r="3208" spans="1:38" x14ac:dyDescent="0.2">
      <c r="A3208" s="2" t="str">
        <f>HYPERLINK("https://www.compass.com/listing/340-west-72nd-street-unit-ath-manhattan-ny-10023/782340787595751641/","340 W 72nd St, Unit ATH")</f>
        <v>340 W 72nd St, Unit ATH</v>
      </c>
      <c r="B3208" s="2" t="str">
        <f t="shared" si="485"/>
        <v>The Chatsworth Annex</v>
      </c>
      <c r="C3208" s="1" t="s">
        <v>47</v>
      </c>
      <c r="D3208" s="1" t="s">
        <v>41</v>
      </c>
      <c r="E3208" s="3">
        <v>7437879</v>
      </c>
      <c r="Q3208" s="1" t="s">
        <v>191</v>
      </c>
      <c r="S3208" s="1" t="s">
        <v>191</v>
      </c>
      <c r="T3208" s="1" t="s">
        <v>203</v>
      </c>
      <c r="AA3208" s="1">
        <v>7437878.8799999999</v>
      </c>
      <c r="AB3208" s="1" t="s">
        <v>2593</v>
      </c>
      <c r="AC3208" s="5">
        <v>44295</v>
      </c>
      <c r="AF3208" s="1">
        <v>10023</v>
      </c>
      <c r="AJ3208" s="1">
        <v>1920</v>
      </c>
      <c r="AL3208" s="1">
        <v>23</v>
      </c>
    </row>
    <row r="3209" spans="1:38" x14ac:dyDescent="0.2">
      <c r="A3209" s="2" t="str">
        <f>HYPERLINK("https://www.compass.com/listing/340-west-72nd-street-unit-aph-manhattan-ny-10023/782340951131718289/","340 W 72nd St, Unit APH")</f>
        <v>340 W 72nd St, Unit APH</v>
      </c>
      <c r="B3209" s="2" t="str">
        <f t="shared" si="485"/>
        <v>The Chatsworth Annex</v>
      </c>
      <c r="C3209" s="1" t="s">
        <v>47</v>
      </c>
      <c r="D3209" s="1" t="s">
        <v>41</v>
      </c>
      <c r="E3209" s="3">
        <v>4747902</v>
      </c>
      <c r="Q3209" s="1" t="s">
        <v>191</v>
      </c>
      <c r="S3209" s="1" t="s">
        <v>191</v>
      </c>
      <c r="T3209" s="1" t="s">
        <v>203</v>
      </c>
      <c r="AA3209" s="1">
        <v>4747902.2300000004</v>
      </c>
      <c r="AB3209" s="1" t="s">
        <v>2594</v>
      </c>
      <c r="AC3209" s="5">
        <v>44295</v>
      </c>
      <c r="AF3209" s="1">
        <v>10023</v>
      </c>
      <c r="AJ3209" s="1">
        <v>1920</v>
      </c>
      <c r="AL3209" s="1">
        <v>23</v>
      </c>
    </row>
    <row r="3210" spans="1:38" x14ac:dyDescent="0.2">
      <c r="A3210" s="2" t="str">
        <f>HYPERLINK("https://www.compass.com/listing/269-west-87th-street-unit-ph2-manhattan-ny-10024/785240640853748313/","269 W 87th St, Unit PH2")</f>
        <v>269 W 87th St, Unit PH2</v>
      </c>
      <c r="B3210" s="2" t="str">
        <f>HYPERLINK("https://www.compass.com/building/west-end-and-eighty-seven-manhattan-ny/282058755477110005/","West End and Eighty Seven")</f>
        <v>West End and Eighty Seven</v>
      </c>
      <c r="C3210" s="1" t="s">
        <v>47</v>
      </c>
      <c r="D3210" s="1" t="s">
        <v>41</v>
      </c>
      <c r="E3210" s="3">
        <v>6250000</v>
      </c>
      <c r="Q3210" s="1" t="s">
        <v>191</v>
      </c>
      <c r="S3210" s="1" t="s">
        <v>191</v>
      </c>
      <c r="T3210" s="1" t="s">
        <v>203</v>
      </c>
      <c r="AA3210" s="1">
        <v>6250000</v>
      </c>
      <c r="AB3210" s="1" t="s">
        <v>2595</v>
      </c>
      <c r="AC3210" s="5">
        <v>44316</v>
      </c>
      <c r="AF3210" s="1">
        <v>10024</v>
      </c>
      <c r="AI3210" s="1" t="s">
        <v>67</v>
      </c>
      <c r="AJ3210" s="1">
        <v>2018</v>
      </c>
      <c r="AK3210" s="1" t="s">
        <v>46</v>
      </c>
      <c r="AL3210" s="1">
        <v>39</v>
      </c>
    </row>
    <row r="3211" spans="1:38" x14ac:dyDescent="0.2">
      <c r="A3211" s="2" t="str">
        <f>HYPERLINK("https://www.compass.com/listing/400-west-61st-street-unit-30j-manhattan-ny-10069/786664658545132993/","400 W 61st St, Unit 30J")</f>
        <v>400 W 61st St, Unit 30J</v>
      </c>
      <c r="B3211" s="2" t="str">
        <f t="shared" ref="B3211:B3213" si="486">HYPERLINK("https://www.compass.com/building/2-waterline-square-manhattan-ny/405244161814084533/","2 Waterline Square")</f>
        <v>2 Waterline Square</v>
      </c>
      <c r="C3211" s="1" t="s">
        <v>47</v>
      </c>
      <c r="D3211" s="1" t="s">
        <v>41</v>
      </c>
      <c r="E3211" s="3">
        <v>3400000</v>
      </c>
      <c r="F3211" s="1">
        <v>2458.4237165581999</v>
      </c>
      <c r="M3211" s="4">
        <v>1383</v>
      </c>
      <c r="Q3211" s="1" t="s">
        <v>42</v>
      </c>
      <c r="S3211" s="1" t="s">
        <v>42</v>
      </c>
      <c r="T3211" s="1" t="s">
        <v>203</v>
      </c>
      <c r="AA3211" s="1">
        <v>3400000</v>
      </c>
      <c r="AB3211" s="1" t="s">
        <v>2596</v>
      </c>
      <c r="AC3211" s="5">
        <v>44316</v>
      </c>
      <c r="AF3211" s="1">
        <v>10069</v>
      </c>
      <c r="AJ3211" s="1">
        <v>2019</v>
      </c>
      <c r="AL3211" s="1">
        <v>329</v>
      </c>
    </row>
    <row r="3212" spans="1:38" x14ac:dyDescent="0.2">
      <c r="A3212" s="2" t="str">
        <f>HYPERLINK("https://www.compass.com/listing/400-west-61st-street-unit-28b-manhattan-ny-10069/792461828256743561/","400 W 61st St, Unit 28B")</f>
        <v>400 W 61st St, Unit 28B</v>
      </c>
      <c r="B3212" s="2" t="str">
        <f t="shared" si="486"/>
        <v>2 Waterline Square</v>
      </c>
      <c r="C3212" s="1" t="s">
        <v>47</v>
      </c>
      <c r="D3212" s="1" t="s">
        <v>41</v>
      </c>
      <c r="E3212" s="3">
        <v>4840000</v>
      </c>
      <c r="F3212" s="1">
        <v>2654.9643444870999</v>
      </c>
      <c r="M3212" s="4">
        <v>1823</v>
      </c>
      <c r="Q3212" s="1" t="s">
        <v>42</v>
      </c>
      <c r="S3212" s="1" t="s">
        <v>42</v>
      </c>
      <c r="T3212" s="1" t="s">
        <v>203</v>
      </c>
      <c r="AA3212" s="1">
        <v>4840000</v>
      </c>
      <c r="AB3212" s="1" t="s">
        <v>2597</v>
      </c>
      <c r="AC3212" s="5">
        <v>44321</v>
      </c>
      <c r="AF3212" s="1">
        <v>10069</v>
      </c>
      <c r="AJ3212" s="1">
        <v>2019</v>
      </c>
      <c r="AL3212" s="1">
        <v>329</v>
      </c>
    </row>
    <row r="3213" spans="1:38" x14ac:dyDescent="0.2">
      <c r="A3213" s="2" t="str">
        <f>HYPERLINK("https://www.compass.com/listing/400-west-61st-street-unit-21p-manhattan-ny-10069/801184525613848233/","400 W 61st St, Unit 21P")</f>
        <v>400 W 61st St, Unit 21P</v>
      </c>
      <c r="B3213" s="2" t="str">
        <f t="shared" si="486"/>
        <v>2 Waterline Square</v>
      </c>
      <c r="C3213" s="1" t="s">
        <v>47</v>
      </c>
      <c r="D3213" s="1" t="s">
        <v>41</v>
      </c>
      <c r="E3213" s="3">
        <v>4064000</v>
      </c>
      <c r="F3213" s="1">
        <v>2342.3631123919299</v>
      </c>
      <c r="M3213" s="4">
        <v>1735</v>
      </c>
      <c r="Q3213" s="1" t="s">
        <v>42</v>
      </c>
      <c r="S3213" s="1" t="s">
        <v>42</v>
      </c>
      <c r="T3213" s="1" t="s">
        <v>203</v>
      </c>
      <c r="AA3213" s="1">
        <v>4064000</v>
      </c>
      <c r="AB3213" s="1" t="s">
        <v>2598</v>
      </c>
      <c r="AC3213" s="5">
        <v>44305</v>
      </c>
      <c r="AF3213" s="1">
        <v>10069</v>
      </c>
      <c r="AJ3213" s="1">
        <v>2019</v>
      </c>
      <c r="AL3213" s="1">
        <v>329</v>
      </c>
    </row>
    <row r="3214" spans="1:38" x14ac:dyDescent="0.2">
      <c r="A3214" s="2" t="str">
        <f>HYPERLINK("https://www.compass.com/listing/287-east-houston-street-unit-1a-manhattan-ny-10002/801184536158505345/","287 E Houston St, Unit 1A")</f>
        <v>287 E Houston St, Unit 1A</v>
      </c>
      <c r="B3214" s="2" t="str">
        <f>HYPERLINK("https://www.compass.com/building/287-les-manhattan-ny/281886930822496357/","287/LES")</f>
        <v>287/LES</v>
      </c>
      <c r="C3214" s="1" t="s">
        <v>84</v>
      </c>
      <c r="D3214" s="1" t="s">
        <v>41</v>
      </c>
      <c r="E3214" s="3">
        <v>2347792</v>
      </c>
      <c r="F3214" s="1">
        <v>1698.83646888567</v>
      </c>
      <c r="M3214" s="4">
        <v>1382</v>
      </c>
      <c r="Q3214" s="1" t="s">
        <v>42</v>
      </c>
      <c r="S3214" s="1" t="s">
        <v>42</v>
      </c>
      <c r="T3214" s="1" t="s">
        <v>203</v>
      </c>
      <c r="AA3214" s="1">
        <v>2347792</v>
      </c>
      <c r="AB3214" s="1" t="s">
        <v>2599</v>
      </c>
      <c r="AC3214" s="5">
        <v>44323</v>
      </c>
      <c r="AF3214" s="1">
        <v>10002</v>
      </c>
      <c r="AI3214" s="1" t="s">
        <v>45</v>
      </c>
      <c r="AJ3214" s="1">
        <v>2018</v>
      </c>
      <c r="AK3214" s="1" t="s">
        <v>140</v>
      </c>
      <c r="AL3214" s="1">
        <v>27</v>
      </c>
    </row>
    <row r="3215" spans="1:38" x14ac:dyDescent="0.2">
      <c r="A3215" s="2" t="str">
        <f>HYPERLINK("https://www.compass.com/listing/400-west-61st-street-unit-28f-manhattan-ny-10069/801897228394150697/","400 W 61st St, Unit 28F")</f>
        <v>400 W 61st St, Unit 28F</v>
      </c>
      <c r="B3215" s="2" t="str">
        <f t="shared" ref="B3215:B3216" si="487">HYPERLINK("https://www.compass.com/building/2-waterline-square-manhattan-ny/405244161814084533/","2 Waterline Square")</f>
        <v>2 Waterline Square</v>
      </c>
      <c r="C3215" s="1" t="s">
        <v>47</v>
      </c>
      <c r="D3215" s="1" t="s">
        <v>41</v>
      </c>
      <c r="E3215" s="3">
        <v>1736500</v>
      </c>
      <c r="F3215" s="1">
        <v>2240.6451612903202</v>
      </c>
      <c r="M3215" s="1">
        <v>775</v>
      </c>
      <c r="Q3215" s="1" t="s">
        <v>42</v>
      </c>
      <c r="S3215" s="1" t="s">
        <v>42</v>
      </c>
      <c r="T3215" s="1" t="s">
        <v>203</v>
      </c>
      <c r="AA3215" s="1">
        <v>1736500</v>
      </c>
      <c r="AB3215" s="1" t="s">
        <v>2600</v>
      </c>
      <c r="AC3215" s="5">
        <v>44342</v>
      </c>
      <c r="AF3215" s="1">
        <v>10069</v>
      </c>
      <c r="AJ3215" s="1">
        <v>2019</v>
      </c>
      <c r="AL3215" s="1">
        <v>329</v>
      </c>
    </row>
    <row r="3216" spans="1:38" x14ac:dyDescent="0.2">
      <c r="A3216" s="2" t="str">
        <f>HYPERLINK("https://www.compass.com/listing/400-west-61st-street-unit-33b-manhattan-ny-10069/801897230214344601/","400 W 61st St, Unit 33B")</f>
        <v>400 W 61st St, Unit 33B</v>
      </c>
      <c r="B3216" s="2" t="str">
        <f t="shared" si="487"/>
        <v>2 Waterline Square</v>
      </c>
      <c r="C3216" s="1" t="s">
        <v>47</v>
      </c>
      <c r="D3216" s="1" t="s">
        <v>41</v>
      </c>
      <c r="E3216" s="3">
        <v>6288000</v>
      </c>
      <c r="F3216" s="1">
        <v>2793.42514438027</v>
      </c>
      <c r="M3216" s="4">
        <v>2251</v>
      </c>
      <c r="Q3216" s="1" t="s">
        <v>42</v>
      </c>
      <c r="S3216" s="1" t="s">
        <v>42</v>
      </c>
      <c r="T3216" s="1" t="s">
        <v>203</v>
      </c>
      <c r="AA3216" s="1">
        <v>6288000</v>
      </c>
      <c r="AB3216" s="1" t="s">
        <v>2601</v>
      </c>
      <c r="AC3216" s="5">
        <v>44336</v>
      </c>
      <c r="AF3216" s="1">
        <v>10069</v>
      </c>
      <c r="AJ3216" s="1">
        <v>2019</v>
      </c>
      <c r="AL3216" s="1">
        <v>329</v>
      </c>
    </row>
    <row r="3217" spans="1:38" x14ac:dyDescent="0.2">
      <c r="A3217" s="2" t="str">
        <f>HYPERLINK("https://www.compass.com/listing/25-park-row-unit-33c-manhattan-ny-10038/805521565396045633/","25 Park Row, Unit 33C")</f>
        <v>25 Park Row, Unit 33C</v>
      </c>
      <c r="B3217" s="2" t="str">
        <f>HYPERLINK("https://www.compass.com/building/25-park-row-manhattan-ny-10038/292920743539264837/","25 Park Row")</f>
        <v>25 Park Row</v>
      </c>
      <c r="C3217" s="1" t="s">
        <v>155</v>
      </c>
      <c r="D3217" s="1" t="s">
        <v>41</v>
      </c>
      <c r="E3217" s="3">
        <v>3800000</v>
      </c>
      <c r="F3217" s="1">
        <v>2202.8985507246298</v>
      </c>
      <c r="M3217" s="4">
        <v>1725</v>
      </c>
      <c r="Q3217" s="1" t="s">
        <v>42</v>
      </c>
      <c r="S3217" s="1" t="s">
        <v>42</v>
      </c>
      <c r="T3217" s="1" t="s">
        <v>203</v>
      </c>
      <c r="AA3217" s="1">
        <v>3800000</v>
      </c>
      <c r="AB3217" s="1" t="s">
        <v>2602</v>
      </c>
      <c r="AC3217" s="5">
        <v>44343</v>
      </c>
      <c r="AF3217" s="1">
        <v>10038</v>
      </c>
      <c r="AI3217" s="1" t="s">
        <v>58</v>
      </c>
      <c r="AJ3217" s="1">
        <v>2019</v>
      </c>
      <c r="AK3217" s="1" t="s">
        <v>55</v>
      </c>
      <c r="AL3217" s="1">
        <v>110</v>
      </c>
    </row>
    <row r="3218" spans="1:38" x14ac:dyDescent="0.2">
      <c r="A3218" s="2" t="str">
        <f>HYPERLINK("https://www.compass.com/listing/324-east-4th-street-unit-4b-manhattan-ny-10009/809858911630134209/","324 E 4th St, Unit 4B")</f>
        <v>324 E 4th St, Unit 4B</v>
      </c>
      <c r="B3218" s="2" t="str">
        <f>HYPERLINK("https://www.compass.com/building/324-e-4th-st-manhattan-ny-10009/281899594583912869/","324 E 4th St")</f>
        <v>324 E 4th St</v>
      </c>
      <c r="C3218" s="1" t="s">
        <v>88</v>
      </c>
      <c r="D3218" s="1" t="s">
        <v>41</v>
      </c>
      <c r="E3218" s="3">
        <v>770000</v>
      </c>
      <c r="F3218" s="1">
        <v>1309.5238095238001</v>
      </c>
      <c r="M3218" s="1">
        <v>588</v>
      </c>
      <c r="Q3218" s="1" t="s">
        <v>42</v>
      </c>
      <c r="S3218" s="1" t="s">
        <v>42</v>
      </c>
      <c r="T3218" s="1" t="s">
        <v>203</v>
      </c>
      <c r="AA3218" s="1">
        <v>770000</v>
      </c>
      <c r="AB3218" s="1" t="s">
        <v>2603</v>
      </c>
      <c r="AC3218" s="5">
        <v>44355</v>
      </c>
      <c r="AF3218" s="1">
        <v>10009</v>
      </c>
      <c r="AI3218" s="1" t="s">
        <v>73</v>
      </c>
      <c r="AJ3218" s="1">
        <v>1920</v>
      </c>
      <c r="AL3218" s="1">
        <v>111</v>
      </c>
    </row>
    <row r="3219" spans="1:38" x14ac:dyDescent="0.2">
      <c r="A3219" s="2" t="str">
        <f>HYPERLINK("https://www.compass.com/listing/400-west-61st-street-unit-30d-manhattan-ny-10069/812767299217766849/","400 W 61st St, Unit 30D")</f>
        <v>400 W 61st St, Unit 30D</v>
      </c>
      <c r="B3219" s="2" t="str">
        <f t="shared" ref="B3219:B3221" si="488">HYPERLINK("https://www.compass.com/building/2-waterline-square-manhattan-ny/405244161814084533/","2 Waterline Square")</f>
        <v>2 Waterline Square</v>
      </c>
      <c r="C3219" s="1" t="s">
        <v>47</v>
      </c>
      <c r="D3219" s="1" t="s">
        <v>41</v>
      </c>
      <c r="E3219" s="3">
        <v>2337500</v>
      </c>
      <c r="F3219" s="1">
        <v>2375.5081300812999</v>
      </c>
      <c r="M3219" s="1">
        <v>984</v>
      </c>
      <c r="Q3219" s="1" t="s">
        <v>42</v>
      </c>
      <c r="S3219" s="1" t="s">
        <v>42</v>
      </c>
      <c r="T3219" s="1" t="s">
        <v>203</v>
      </c>
      <c r="AA3219" s="1">
        <v>2337500</v>
      </c>
      <c r="AB3219" s="1" t="s">
        <v>2604</v>
      </c>
      <c r="AC3219" s="5">
        <v>44358</v>
      </c>
      <c r="AF3219" s="1">
        <v>10069</v>
      </c>
      <c r="AJ3219" s="1">
        <v>2019</v>
      </c>
      <c r="AL3219" s="1">
        <v>329</v>
      </c>
    </row>
    <row r="3220" spans="1:38" x14ac:dyDescent="0.2">
      <c r="A3220" s="2" t="str">
        <f>HYPERLINK("https://www.compass.com/listing/400-west-61st-street-unit-34f-manhattan-ny-10069/816018215486906633/","400 W 61st St, Unit 34F")</f>
        <v>400 W 61st St, Unit 34F</v>
      </c>
      <c r="B3220" s="2" t="str">
        <f t="shared" si="488"/>
        <v>2 Waterline Square</v>
      </c>
      <c r="C3220" s="1" t="s">
        <v>47</v>
      </c>
      <c r="D3220" s="1" t="s">
        <v>41</v>
      </c>
      <c r="E3220" s="3">
        <v>5220000</v>
      </c>
      <c r="F3220" s="1">
        <v>2459.9434495758701</v>
      </c>
      <c r="M3220" s="4">
        <v>2122</v>
      </c>
      <c r="Q3220" s="1" t="s">
        <v>42</v>
      </c>
      <c r="S3220" s="1" t="s">
        <v>42</v>
      </c>
      <c r="T3220" s="1" t="s">
        <v>203</v>
      </c>
      <c r="AA3220" s="1">
        <v>5220000</v>
      </c>
      <c r="AB3220" s="1" t="s">
        <v>2605</v>
      </c>
      <c r="AC3220" s="5">
        <v>44341</v>
      </c>
      <c r="AF3220" s="1">
        <v>10069</v>
      </c>
      <c r="AJ3220" s="1">
        <v>2019</v>
      </c>
      <c r="AL3220" s="1">
        <v>329</v>
      </c>
    </row>
    <row r="3221" spans="1:38" x14ac:dyDescent="0.2">
      <c r="A3221" s="2" t="str">
        <f>HYPERLINK("https://www.compass.com/listing/400-west-61st-street-unit-22f-manhattan-ny-10069/816409251413160417/","400 W 61st St, Unit 22F")</f>
        <v>400 W 61st St, Unit 22F</v>
      </c>
      <c r="B3221" s="2" t="str">
        <f t="shared" si="488"/>
        <v>2 Waterline Square</v>
      </c>
      <c r="C3221" s="1" t="s">
        <v>47</v>
      </c>
      <c r="D3221" s="1" t="s">
        <v>41</v>
      </c>
      <c r="E3221" s="3">
        <v>1859324</v>
      </c>
      <c r="F3221" s="1">
        <v>2096.19391206313</v>
      </c>
      <c r="M3221" s="1">
        <v>887</v>
      </c>
      <c r="Q3221" s="1" t="s">
        <v>42</v>
      </c>
      <c r="S3221" s="1" t="s">
        <v>42</v>
      </c>
      <c r="T3221" s="1" t="s">
        <v>203</v>
      </c>
      <c r="AA3221" s="1">
        <v>1859324</v>
      </c>
      <c r="AB3221" s="1" t="s">
        <v>2606</v>
      </c>
      <c r="AC3221" s="5">
        <v>44350</v>
      </c>
      <c r="AF3221" s="1">
        <v>10069</v>
      </c>
      <c r="AJ3221" s="1">
        <v>2019</v>
      </c>
      <c r="AL3221" s="1">
        <v>329</v>
      </c>
    </row>
    <row r="3222" spans="1:38" x14ac:dyDescent="0.2">
      <c r="A3222" s="2" t="str">
        <f>HYPERLINK("https://www.compass.com/listing/346-west-71st-street-unit-2b-manhattan-ny-10023/822521222640564041/","346 W 71st St, Unit 2B")</f>
        <v>346 W 71st St, Unit 2B</v>
      </c>
      <c r="B3222" s="2" t="str">
        <f>HYPERLINK("https://www.compass.com/building/346-w-71st-st-manhattan-ny-10023/293534968154524325/","346 W 71st St")</f>
        <v>346 W 71st St</v>
      </c>
      <c r="C3222" s="1" t="s">
        <v>47</v>
      </c>
      <c r="D3222" s="1" t="s">
        <v>41</v>
      </c>
      <c r="E3222" s="3">
        <v>3055000</v>
      </c>
      <c r="F3222" s="1">
        <v>1354.1666666666599</v>
      </c>
      <c r="M3222" s="4">
        <v>2256</v>
      </c>
      <c r="Q3222" s="1" t="s">
        <v>42</v>
      </c>
      <c r="S3222" s="1" t="s">
        <v>42</v>
      </c>
      <c r="T3222" s="1" t="s">
        <v>203</v>
      </c>
      <c r="AA3222" s="1">
        <v>3055000</v>
      </c>
      <c r="AB3222" s="1" t="s">
        <v>2607</v>
      </c>
      <c r="AC3222" s="5">
        <v>44302</v>
      </c>
      <c r="AF3222" s="1">
        <v>10023</v>
      </c>
      <c r="AJ3222" s="1">
        <v>1900</v>
      </c>
      <c r="AL3222" s="1">
        <v>1</v>
      </c>
    </row>
    <row r="3223" spans="1:38" x14ac:dyDescent="0.2">
      <c r="A3223" s="2" t="str">
        <f>HYPERLINK("https://www.compass.com/listing/400-west-61st-street-unit-32b-manhattan-ny-10069/825822764800866121/","400 W 61st St, Unit 32B")</f>
        <v>400 W 61st St, Unit 32B</v>
      </c>
      <c r="B3223" s="2" t="str">
        <f t="shared" ref="B3223:B3224" si="489">HYPERLINK("https://www.compass.com/building/2-waterline-square-manhattan-ny/405244161814084533/","2 Waterline Square")</f>
        <v>2 Waterline Square</v>
      </c>
      <c r="C3223" s="1" t="s">
        <v>47</v>
      </c>
      <c r="D3223" s="1" t="s">
        <v>41</v>
      </c>
      <c r="E3223" s="3">
        <v>6189828</v>
      </c>
      <c r="F3223" s="1">
        <v>2749.8125277654299</v>
      </c>
      <c r="M3223" s="4">
        <v>2251</v>
      </c>
      <c r="Q3223" s="1" t="s">
        <v>42</v>
      </c>
      <c r="S3223" s="1" t="s">
        <v>42</v>
      </c>
      <c r="T3223" s="1" t="s">
        <v>203</v>
      </c>
      <c r="AA3223" s="1">
        <v>6189828</v>
      </c>
      <c r="AB3223" s="1" t="s">
        <v>2608</v>
      </c>
      <c r="AC3223" s="5">
        <v>44376</v>
      </c>
      <c r="AF3223" s="1">
        <v>10069</v>
      </c>
      <c r="AJ3223" s="1">
        <v>2019</v>
      </c>
      <c r="AL3223" s="1">
        <v>329</v>
      </c>
    </row>
    <row r="3224" spans="1:38" x14ac:dyDescent="0.2">
      <c r="A3224" s="2" t="str">
        <f>HYPERLINK("https://www.compass.com/listing/400-west-61st-street-unit-37b-manhattan-ny-10069/836683400427857417/","400 W 61st St, Unit 37B")</f>
        <v>400 W 61st St, Unit 37B</v>
      </c>
      <c r="B3224" s="2" t="str">
        <f t="shared" si="489"/>
        <v>2 Waterline Square</v>
      </c>
      <c r="C3224" s="1" t="s">
        <v>47</v>
      </c>
      <c r="D3224" s="1" t="s">
        <v>41</v>
      </c>
      <c r="E3224" s="3">
        <v>11300000</v>
      </c>
      <c r="F3224" s="1">
        <v>3271.56919513607</v>
      </c>
      <c r="M3224" s="4">
        <v>3454</v>
      </c>
      <c r="Q3224" s="1" t="s">
        <v>42</v>
      </c>
      <c r="S3224" s="1" t="s">
        <v>42</v>
      </c>
      <c r="T3224" s="1" t="s">
        <v>203</v>
      </c>
      <c r="AA3224" s="1">
        <v>11300000</v>
      </c>
      <c r="AB3224" s="1" t="s">
        <v>2609</v>
      </c>
      <c r="AC3224" s="5">
        <v>44354</v>
      </c>
      <c r="AF3224" s="1">
        <v>10069</v>
      </c>
      <c r="AJ3224" s="1">
        <v>2019</v>
      </c>
      <c r="AL3224" s="1">
        <v>329</v>
      </c>
    </row>
    <row r="3225" spans="1:38" x14ac:dyDescent="0.2">
      <c r="A3225" s="2" t="str">
        <f>HYPERLINK("https://www.compass.com/listing/340-west-72nd-street-unit-a7a-manhattan-ny-10023/87367570558128945/","340 W 72nd St, Unit A7A")</f>
        <v>340 W 72nd St, Unit A7A</v>
      </c>
      <c r="B3225" s="2" t="str">
        <f t="shared" ref="B3225:B3226" si="490">HYPERLINK("https://www.compass.com/building/the-chatsworth-annex-manhattan-ny/281960253094963669/","The Chatsworth Annex")</f>
        <v>The Chatsworth Annex</v>
      </c>
      <c r="C3225" s="1" t="s">
        <v>47</v>
      </c>
      <c r="D3225" s="1" t="s">
        <v>41</v>
      </c>
      <c r="E3225" s="3">
        <v>5819270</v>
      </c>
      <c r="Q3225" s="1" t="s">
        <v>191</v>
      </c>
      <c r="S3225" s="1" t="s">
        <v>191</v>
      </c>
      <c r="T3225" s="1" t="s">
        <v>203</v>
      </c>
      <c r="AA3225" s="1">
        <v>5819269.8499999996</v>
      </c>
      <c r="AB3225" s="1" t="s">
        <v>2610</v>
      </c>
      <c r="AC3225" s="5">
        <v>43370</v>
      </c>
      <c r="AF3225" s="1">
        <v>10023</v>
      </c>
      <c r="AJ3225" s="1">
        <v>1920</v>
      </c>
      <c r="AL3225" s="1">
        <v>23</v>
      </c>
    </row>
    <row r="3226" spans="1:38" x14ac:dyDescent="0.2">
      <c r="A3226" s="2" t="str">
        <f>HYPERLINK("https://www.compass.com/listing/340-west-72nd-street-unit-a3b-manhattan-ny-10023/90999142716856977/","340 W 72nd St, Unit A3B")</f>
        <v>340 W 72nd St, Unit A3B</v>
      </c>
      <c r="B3226" s="2" t="str">
        <f t="shared" si="490"/>
        <v>The Chatsworth Annex</v>
      </c>
      <c r="C3226" s="1" t="s">
        <v>47</v>
      </c>
      <c r="D3226" s="1" t="s">
        <v>41</v>
      </c>
      <c r="E3226" s="3">
        <v>1447281</v>
      </c>
      <c r="Q3226" s="1" t="s">
        <v>191</v>
      </c>
      <c r="S3226" s="1" t="s">
        <v>191</v>
      </c>
      <c r="T3226" s="1" t="s">
        <v>203</v>
      </c>
      <c r="AA3226" s="1">
        <v>1447280.69</v>
      </c>
      <c r="AB3226" s="1" t="s">
        <v>2611</v>
      </c>
      <c r="AC3226" s="5">
        <v>43374</v>
      </c>
      <c r="AF3226" s="1">
        <v>10023</v>
      </c>
      <c r="AJ3226" s="1">
        <v>1920</v>
      </c>
      <c r="AL3226" s="1">
        <v>23</v>
      </c>
    </row>
    <row r="3227" spans="1:38" x14ac:dyDescent="0.2">
      <c r="A3227" s="2" t="str">
        <f>HYPERLINK("https://www.compass.com/listing/591-3rd-avenue-unit-10d-manhattan-ny-10016/96048111469792513/","591 3rd Ave, Unit 10D")</f>
        <v>591 3rd Ave, Unit 10D</v>
      </c>
      <c r="B3227" s="2" t="str">
        <f>HYPERLINK("https://www.compass.com/building/the-lindley-manhattan-ny/282058799928343829/","The Lindley")</f>
        <v>The Lindley</v>
      </c>
      <c r="C3227" s="1" t="s">
        <v>165</v>
      </c>
      <c r="D3227" s="1" t="s">
        <v>41</v>
      </c>
      <c r="E3227" s="3">
        <v>989040</v>
      </c>
      <c r="F3227" s="1">
        <v>1679.1850594227501</v>
      </c>
      <c r="M3227" s="1">
        <v>589</v>
      </c>
      <c r="Q3227" s="1" t="s">
        <v>42</v>
      </c>
      <c r="S3227" s="1" t="s">
        <v>42</v>
      </c>
      <c r="T3227" s="1" t="s">
        <v>203</v>
      </c>
      <c r="AA3227" s="1">
        <v>989040</v>
      </c>
      <c r="AB3227" s="1" t="s">
        <v>2612</v>
      </c>
      <c r="AC3227" s="5">
        <v>43377</v>
      </c>
      <c r="AF3227" s="1">
        <v>10016</v>
      </c>
      <c r="AI3227" s="1" t="s">
        <v>166</v>
      </c>
      <c r="AJ3227" s="1">
        <v>2018</v>
      </c>
      <c r="AK3227" s="1" t="s">
        <v>55</v>
      </c>
      <c r="AL3227" s="1">
        <v>74</v>
      </c>
    </row>
    <row r="3228" spans="1:38" x14ac:dyDescent="0.2">
      <c r="A3228" s="2" t="str">
        <f>HYPERLINK("https://www.compass.com/listing/242-broome-street-unit-5f-manhattan-ny-10002/96754149139427281/","242 Broome St, Unit 5F")</f>
        <v>242 Broome St, Unit 5F</v>
      </c>
      <c r="B3228" s="2" t="str">
        <f t="shared" ref="B3228:B3230" si="491">HYPERLINK("https://www.compass.com/building/242-broome-essex-crossing-manhattan-ny/292776610392708181/","242 Broome, Essex Crossing")</f>
        <v>242 Broome, Essex Crossing</v>
      </c>
      <c r="C3228" s="1" t="s">
        <v>84</v>
      </c>
      <c r="D3228" s="1" t="s">
        <v>41</v>
      </c>
      <c r="E3228" s="3">
        <v>284390</v>
      </c>
      <c r="F3228" s="1">
        <v>290.19336734693798</v>
      </c>
      <c r="M3228" s="1">
        <v>980</v>
      </c>
      <c r="Q3228" s="1" t="s">
        <v>42</v>
      </c>
      <c r="S3228" s="1" t="s">
        <v>42</v>
      </c>
      <c r="T3228" s="1" t="s">
        <v>203</v>
      </c>
      <c r="AA3228" s="1">
        <v>284389.5</v>
      </c>
      <c r="AB3228" s="1" t="s">
        <v>2613</v>
      </c>
      <c r="AC3228" s="5">
        <v>43378</v>
      </c>
      <c r="AF3228" s="1">
        <v>10002</v>
      </c>
      <c r="AI3228" s="1" t="s">
        <v>45</v>
      </c>
      <c r="AJ3228" s="1">
        <v>2018</v>
      </c>
      <c r="AK3228" s="1" t="s">
        <v>50</v>
      </c>
      <c r="AL3228" s="1">
        <v>55</v>
      </c>
    </row>
    <row r="3229" spans="1:38" x14ac:dyDescent="0.2">
      <c r="A3229" s="2" t="str">
        <f>HYPERLINK("https://www.compass.com/listing/242-broome-street-unit-7a-manhattan-ny-10002/96754150842400401/","242 Broome St, Unit 7A")</f>
        <v>242 Broome St, Unit 7A</v>
      </c>
      <c r="B3229" s="2" t="str">
        <f t="shared" si="491"/>
        <v>242 Broome, Essex Crossing</v>
      </c>
      <c r="C3229" s="1" t="s">
        <v>84</v>
      </c>
      <c r="D3229" s="1" t="s">
        <v>41</v>
      </c>
      <c r="E3229" s="3">
        <v>284390</v>
      </c>
      <c r="F3229" s="1">
        <v>300.30570221752902</v>
      </c>
      <c r="M3229" s="1">
        <v>947</v>
      </c>
      <c r="Q3229" s="1" t="s">
        <v>42</v>
      </c>
      <c r="S3229" s="1" t="s">
        <v>42</v>
      </c>
      <c r="T3229" s="1" t="s">
        <v>203</v>
      </c>
      <c r="AA3229" s="1">
        <v>284389.5</v>
      </c>
      <c r="AB3229" s="1" t="s">
        <v>2614</v>
      </c>
      <c r="AC3229" s="5">
        <v>43371</v>
      </c>
      <c r="AF3229" s="1">
        <v>10002</v>
      </c>
      <c r="AI3229" s="1" t="s">
        <v>45</v>
      </c>
      <c r="AJ3229" s="1">
        <v>2018</v>
      </c>
      <c r="AK3229" s="1" t="s">
        <v>50</v>
      </c>
      <c r="AL3229" s="1">
        <v>55</v>
      </c>
    </row>
    <row r="3230" spans="1:38" x14ac:dyDescent="0.2">
      <c r="A3230" s="2" t="str">
        <f>HYPERLINK("https://www.compass.com/listing/242-broome-street-unit-7e-manhattan-ny-10002/96754151471460337/","242 Broome St, Unit 7E")</f>
        <v>242 Broome St, Unit 7E</v>
      </c>
      <c r="B3230" s="2" t="str">
        <f t="shared" si="491"/>
        <v>242 Broome, Essex Crossing</v>
      </c>
      <c r="C3230" s="1" t="s">
        <v>84</v>
      </c>
      <c r="D3230" s="1" t="s">
        <v>41</v>
      </c>
      <c r="E3230" s="3">
        <v>339098</v>
      </c>
      <c r="F3230" s="1">
        <v>312.82106088560801</v>
      </c>
      <c r="M3230" s="4">
        <v>1084</v>
      </c>
      <c r="Q3230" s="1" t="s">
        <v>42</v>
      </c>
      <c r="S3230" s="1" t="s">
        <v>42</v>
      </c>
      <c r="T3230" s="1" t="s">
        <v>203</v>
      </c>
      <c r="AA3230" s="1">
        <v>339098.03</v>
      </c>
      <c r="AB3230" s="1" t="s">
        <v>2615</v>
      </c>
      <c r="AC3230" s="5">
        <v>43371</v>
      </c>
      <c r="AF3230" s="1">
        <v>10002</v>
      </c>
      <c r="AI3230" s="1" t="s">
        <v>45</v>
      </c>
      <c r="AJ3230" s="1">
        <v>2018</v>
      </c>
      <c r="AK3230" s="1" t="s">
        <v>50</v>
      </c>
      <c r="AL3230" s="1">
        <v>55</v>
      </c>
    </row>
    <row r="3231" spans="1:38" x14ac:dyDescent="0.2">
      <c r="A3231" s="2" t="str">
        <f>HYPERLINK("https://www.compass.com/listing/591-3rd-avenue-unit-4a-manhattan-ny-10016/96774520748197233/","591 3rd Ave, Unit 4A")</f>
        <v>591 3rd Ave, Unit 4A</v>
      </c>
      <c r="B3231" s="2" t="str">
        <f t="shared" ref="B3231:B3232" si="492">HYPERLINK("https://www.compass.com/building/the-lindley-manhattan-ny/282058799928343829/","The Lindley")</f>
        <v>The Lindley</v>
      </c>
      <c r="C3231" s="1" t="s">
        <v>165</v>
      </c>
      <c r="D3231" s="1" t="s">
        <v>41</v>
      </c>
      <c r="E3231" s="3">
        <v>1406291</v>
      </c>
      <c r="F3231" s="1">
        <v>1880.0685160427799</v>
      </c>
      <c r="M3231" s="1">
        <v>748</v>
      </c>
      <c r="Q3231" s="1" t="s">
        <v>42</v>
      </c>
      <c r="S3231" s="1" t="s">
        <v>42</v>
      </c>
      <c r="T3231" s="1" t="s">
        <v>203</v>
      </c>
      <c r="AA3231" s="1">
        <v>1406291.25</v>
      </c>
      <c r="AB3231" s="1" t="s">
        <v>2616</v>
      </c>
      <c r="AC3231" s="5">
        <v>43377</v>
      </c>
      <c r="AF3231" s="1">
        <v>10016</v>
      </c>
      <c r="AI3231" s="1" t="s">
        <v>166</v>
      </c>
      <c r="AJ3231" s="1">
        <v>2018</v>
      </c>
      <c r="AK3231" s="1" t="s">
        <v>55</v>
      </c>
      <c r="AL3231" s="1">
        <v>74</v>
      </c>
    </row>
    <row r="3232" spans="1:38" x14ac:dyDescent="0.2">
      <c r="A3232" s="2" t="str">
        <f>HYPERLINK("https://www.compass.com/listing/591-3rd-avenue-unit-10c-manhattan-ny-10016/97498850507465761/","591 3rd Ave, Unit 10C")</f>
        <v>591 3rd Ave, Unit 10C</v>
      </c>
      <c r="B3232" s="2" t="str">
        <f t="shared" si="492"/>
        <v>The Lindley</v>
      </c>
      <c r="C3232" s="1" t="s">
        <v>165</v>
      </c>
      <c r="D3232" s="1" t="s">
        <v>41</v>
      </c>
      <c r="E3232" s="3">
        <v>1403094</v>
      </c>
      <c r="F3232" s="1">
        <v>1903.7907055630899</v>
      </c>
      <c r="M3232" s="1">
        <v>737</v>
      </c>
      <c r="Q3232" s="1" t="s">
        <v>42</v>
      </c>
      <c r="S3232" s="1" t="s">
        <v>42</v>
      </c>
      <c r="T3232" s="1" t="s">
        <v>203</v>
      </c>
      <c r="AA3232" s="1">
        <v>1403093.75</v>
      </c>
      <c r="AB3232" s="1" t="s">
        <v>2617</v>
      </c>
      <c r="AC3232" s="5">
        <v>43377</v>
      </c>
      <c r="AF3232" s="1">
        <v>10016</v>
      </c>
      <c r="AI3232" s="1" t="s">
        <v>166</v>
      </c>
      <c r="AJ3232" s="1">
        <v>2018</v>
      </c>
      <c r="AK3232" s="1" t="s">
        <v>55</v>
      </c>
      <c r="AL3232" s="1">
        <v>74</v>
      </c>
    </row>
    <row r="3233" spans="1:38" x14ac:dyDescent="0.2">
      <c r="A3233" s="2" t="str">
        <f>HYPERLINK("https://www.compass.com/listing/340-west-72nd-street-unit-502-manhattan-ny-10023/97513691557158065/","340 W 72nd St, Unit 502")</f>
        <v>340 W 72nd St, Unit 502</v>
      </c>
      <c r="B3233" s="2" t="str">
        <f>HYPERLINK("https://www.compass.com/building/the-chatsworth-annex-manhattan-ny/281960253094963669/","The Chatsworth Annex")</f>
        <v>The Chatsworth Annex</v>
      </c>
      <c r="C3233" s="1" t="s">
        <v>47</v>
      </c>
      <c r="D3233" s="1" t="s">
        <v>41</v>
      </c>
      <c r="E3233" s="3">
        <v>5145828</v>
      </c>
      <c r="Q3233" s="1" t="s">
        <v>191</v>
      </c>
      <c r="S3233" s="1" t="s">
        <v>191</v>
      </c>
      <c r="T3233" s="1" t="s">
        <v>203</v>
      </c>
      <c r="AA3233" s="1">
        <v>5145828.04</v>
      </c>
      <c r="AB3233" s="1" t="s">
        <v>2618</v>
      </c>
      <c r="AC3233" s="5">
        <v>43384</v>
      </c>
      <c r="AF3233" s="1">
        <v>10023</v>
      </c>
      <c r="AJ3233" s="1">
        <v>1920</v>
      </c>
      <c r="AL3233" s="1">
        <v>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generated at 0716pm 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</cp:lastModifiedBy>
  <dcterms:modified xsi:type="dcterms:W3CDTF">2021-08-19T11:49:44Z</dcterms:modified>
</cp:coreProperties>
</file>